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odeName="ThisWorkbook" autoCompressPictures="0"/>
  <bookViews>
    <workbookView xWindow="240" yWindow="0" windowWidth="25360" windowHeight="14520" tabRatio="500"/>
  </bookViews>
  <sheets>
    <sheet name="Simulador" sheetId="4" r:id="rId1"/>
    <sheet name="Exemplo 1" sheetId="7" r:id="rId2"/>
    <sheet name="Exemplo 2" sheetId="8" r:id="rId3"/>
  </sheets>
  <definedNames>
    <definedName name="acimade45" localSheetId="1">'Exemplo 1'!$AC$24:$AC$25</definedName>
    <definedName name="acimade45" localSheetId="2">'Exemplo 2'!$AC$24:$AC$25</definedName>
    <definedName name="acimade45" localSheetId="0">Simulador!$AC$24:$AC$25</definedName>
    <definedName name="acimade45">#REF!</definedName>
    <definedName name="agric" localSheetId="1">'Exemplo 1'!$F$37:$F$47</definedName>
    <definedName name="agric" localSheetId="2">'Exemplo 2'!$F$38:$F$48</definedName>
    <definedName name="agric">Simulador!$F$37:$F$47</definedName>
    <definedName name="Categoria" localSheetId="1">'Exemplo 1'!$W$24:$W$27</definedName>
    <definedName name="Categoria" localSheetId="2">'Exemplo 2'!$W$24:$W$27</definedName>
    <definedName name="Categoria" localSheetId="0">Simulador!$W$24:$W$27</definedName>
    <definedName name="Categoria">#REF!</definedName>
    <definedName name="categoria1" localSheetId="1">'Exemplo 1'!$W$23:$W$27</definedName>
    <definedName name="categoria1" localSheetId="2">'Exemplo 2'!$W$23:$W$27</definedName>
    <definedName name="categoria1" localSheetId="0">Simulador!$W$23:$W$27</definedName>
    <definedName name="categoria1">#REF!</definedName>
    <definedName name="categoria2" localSheetId="1">'Exemplo 1'!$W$30:$W$34</definedName>
    <definedName name="categoria2" localSheetId="2">'Exemplo 2'!$W$30:$W$34</definedName>
    <definedName name="categoria2" localSheetId="0">Simulador!$W$30:$W$34</definedName>
    <definedName name="categoria2">#REF!</definedName>
    <definedName name="categoria3" localSheetId="1">'Exemplo 1'!$W$31:$W$34</definedName>
    <definedName name="categoria3" localSheetId="2">'Exemplo 2'!$W$31:$W$34</definedName>
    <definedName name="categoria3" localSheetId="0">Simulador!$W$31:$W$34</definedName>
    <definedName name="categoria3">#REF!</definedName>
    <definedName name="eirl" localSheetId="1">'Exemplo 1'!$G$37:$G$47</definedName>
    <definedName name="eirl" localSheetId="2">'Exemplo 2'!$G$38:$G$48</definedName>
    <definedName name="eirl">Simulador!$G$37:$G$47</definedName>
    <definedName name="entre30e39" localSheetId="1">'Exemplo 1'!$AA$24:$AA$25</definedName>
    <definedName name="entre30e39" localSheetId="2">'Exemplo 2'!$AA$24:$AA$25</definedName>
    <definedName name="entre30e39" localSheetId="0">Simulador!$AA$24:$AA$25</definedName>
    <definedName name="entre30e39">#REF!</definedName>
    <definedName name="entre40e44" localSheetId="1">'Exemplo 1'!$AB$24:$AB$25</definedName>
    <definedName name="entre40e44" localSheetId="2">'Exemplo 2'!$AB$24:$AB$25</definedName>
    <definedName name="entre40e44" localSheetId="0">Simulador!$AB$24:$AB$25</definedName>
    <definedName name="entre40e44">#REF!</definedName>
    <definedName name="igual" localSheetId="1">'Exemplo 1'!$Y$31:$Y$33</definedName>
    <definedName name="igual" localSheetId="2">'Exemplo 2'!$Y$31:$Y$33</definedName>
    <definedName name="igual" localSheetId="0">Simulador!$Y$31:$Y$33</definedName>
    <definedName name="igual">#REF!</definedName>
    <definedName name="Menosde30" localSheetId="1">'Exemplo 1'!$Z$24:$Z$25</definedName>
    <definedName name="Menosde30" localSheetId="2">'Exemplo 2'!$Z$24:$Z$25</definedName>
    <definedName name="Menosde30" localSheetId="0">Simulador!$Z$24:$Z$25</definedName>
    <definedName name="Menosde30">#REF!</definedName>
    <definedName name="prazogarantia" localSheetId="1">'Exemplo 1'!$V$23:$V$25</definedName>
    <definedName name="prazogarantia" localSheetId="2">'Exemplo 2'!$V$23:$V$25</definedName>
    <definedName name="prazogarantia" localSheetId="0">Simulador!$V$23:$V$25</definedName>
    <definedName name="prazogarantia">#REF!</definedName>
    <definedName name="Subcategoria" localSheetId="1">'Exemplo 1'!$Z$24:$Z$25</definedName>
    <definedName name="Subcategoria" localSheetId="2">'Exemplo 2'!$Z$24:$Z$25</definedName>
    <definedName name="Subcategoria" localSheetId="0">Simulador!$Z$24:$Z$25</definedName>
    <definedName name="Subcategoria">#REF!</definedName>
    <definedName name="tind" localSheetId="1">'Exemplo 1'!$E$37:$E$47</definedName>
    <definedName name="tind" localSheetId="2">'Exemplo 2'!$E$38:$E$48</definedName>
    <definedName name="tind">Simulador!$E$37:$E$47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9" i="4" l="1"/>
  <c r="N25" i="4"/>
  <c r="S17" i="4"/>
  <c r="C37" i="4"/>
  <c r="C38" i="4"/>
  <c r="C39" i="4"/>
  <c r="C40" i="4"/>
  <c r="C41" i="4"/>
  <c r="C42" i="4"/>
  <c r="C43" i="4"/>
  <c r="C44" i="4"/>
  <c r="C45" i="4"/>
  <c r="C46" i="4"/>
  <c r="C47" i="4"/>
  <c r="R36" i="4"/>
  <c r="R38" i="4"/>
  <c r="S36" i="4"/>
  <c r="T38" i="4"/>
  <c r="P23" i="4"/>
  <c r="R37" i="4"/>
  <c r="T37" i="4"/>
  <c r="P22" i="4"/>
  <c r="T36" i="4"/>
  <c r="P21" i="4"/>
  <c r="N21" i="4"/>
  <c r="R34" i="4"/>
  <c r="S34" i="4"/>
  <c r="T34" i="4"/>
  <c r="P20" i="4"/>
  <c r="R33" i="4"/>
  <c r="S33" i="4"/>
  <c r="T33" i="4"/>
  <c r="P19" i="4"/>
  <c r="N23" i="4"/>
  <c r="N22" i="4"/>
  <c r="N20" i="4"/>
  <c r="N19" i="4"/>
  <c r="N14" i="4"/>
  <c r="N12" i="4"/>
  <c r="P10" i="4"/>
  <c r="N13" i="8"/>
  <c r="S36" i="8"/>
  <c r="P10" i="8"/>
  <c r="S17" i="8"/>
  <c r="C38" i="8"/>
  <c r="C39" i="8"/>
  <c r="C40" i="8"/>
  <c r="C41" i="8"/>
  <c r="C42" i="8"/>
  <c r="C43" i="8"/>
  <c r="C44" i="8"/>
  <c r="C45" i="8"/>
  <c r="C46" i="8"/>
  <c r="C47" i="8"/>
  <c r="C48" i="8"/>
  <c r="R36" i="8"/>
  <c r="T36" i="8"/>
  <c r="P48" i="8"/>
  <c r="R39" i="8"/>
  <c r="T39" i="8"/>
  <c r="R38" i="8"/>
  <c r="T38" i="8"/>
  <c r="R37" i="8"/>
  <c r="T37" i="8"/>
  <c r="K38" i="8"/>
  <c r="D37" i="8"/>
  <c r="G37" i="8"/>
  <c r="F37" i="8"/>
  <c r="E37" i="8"/>
  <c r="C37" i="8"/>
  <c r="R34" i="8"/>
  <c r="S34" i="8"/>
  <c r="T34" i="8"/>
  <c r="R33" i="8"/>
  <c r="S33" i="8"/>
  <c r="T33" i="8"/>
  <c r="Q31" i="8"/>
  <c r="N31" i="8"/>
  <c r="N26" i="8"/>
  <c r="I25" i="8"/>
  <c r="P24" i="8"/>
  <c r="N24" i="8"/>
  <c r="P23" i="8"/>
  <c r="N23" i="8"/>
  <c r="P22" i="8"/>
  <c r="N22" i="8"/>
  <c r="P21" i="8"/>
  <c r="N21" i="8"/>
  <c r="T17" i="8"/>
  <c r="N15" i="8"/>
  <c r="R13" i="8"/>
  <c r="P11" i="8"/>
  <c r="P9" i="7"/>
  <c r="S17" i="7"/>
  <c r="C37" i="7"/>
  <c r="C38" i="7"/>
  <c r="C39" i="7"/>
  <c r="C40" i="7"/>
  <c r="C41" i="7"/>
  <c r="C42" i="7"/>
  <c r="C43" i="7"/>
  <c r="C44" i="7"/>
  <c r="C45" i="7"/>
  <c r="C46" i="7"/>
  <c r="C47" i="7"/>
  <c r="R36" i="7"/>
  <c r="R34" i="7"/>
  <c r="N20" i="7"/>
  <c r="S36" i="7"/>
  <c r="T36" i="7"/>
  <c r="P47" i="7"/>
  <c r="R39" i="7"/>
  <c r="T39" i="7"/>
  <c r="R38" i="7"/>
  <c r="T38" i="7"/>
  <c r="R37" i="7"/>
  <c r="T37" i="7"/>
  <c r="K37" i="7"/>
  <c r="D36" i="7"/>
  <c r="G36" i="7"/>
  <c r="F36" i="7"/>
  <c r="E36" i="7"/>
  <c r="C36" i="7"/>
  <c r="S34" i="7"/>
  <c r="T34" i="7"/>
  <c r="R33" i="7"/>
  <c r="S33" i="7"/>
  <c r="T33" i="7"/>
  <c r="Q30" i="7"/>
  <c r="N30" i="7"/>
  <c r="N25" i="7"/>
  <c r="I24" i="7"/>
  <c r="P23" i="7"/>
  <c r="N23" i="7"/>
  <c r="P22" i="7"/>
  <c r="N22" i="7"/>
  <c r="P21" i="7"/>
  <c r="N21" i="7"/>
  <c r="P20" i="7"/>
  <c r="P19" i="7"/>
  <c r="N19" i="7"/>
  <c r="T17" i="7"/>
  <c r="N14" i="7"/>
  <c r="R13" i="7"/>
  <c r="N12" i="7"/>
  <c r="P10" i="7"/>
  <c r="P47" i="4"/>
  <c r="D36" i="4"/>
  <c r="E36" i="4"/>
  <c r="K37" i="4"/>
  <c r="G36" i="4"/>
  <c r="R39" i="4"/>
  <c r="Q30" i="4"/>
  <c r="F36" i="4"/>
  <c r="C36" i="4"/>
  <c r="R13" i="4"/>
  <c r="T39" i="4"/>
  <c r="N30" i="4"/>
  <c r="T17" i="4"/>
  <c r="I24" i="4"/>
</calcChain>
</file>

<file path=xl/comments1.xml><?xml version="1.0" encoding="utf-8"?>
<comments xmlns="http://schemas.openxmlformats.org/spreadsheetml/2006/main">
  <authors>
    <author>Família Sousa e Silva</author>
  </authors>
  <commentList>
    <comment ref="D10" authorId="0">
      <text>
        <r>
          <rPr>
            <sz val="10"/>
            <color indexed="81"/>
            <rFont val="Candara"/>
          </rPr>
          <t>Escolha a atividade que se ajusta ao seu caso pessoal: Trabalhador independente, produtor agrícola, empresário em nome individual ou estabelecimento individual de responsabilidade limitada. O tipo de atividade define a taxa de contribuição.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3" authorId="0">
      <text>
        <r>
          <rPr>
            <sz val="10"/>
            <color indexed="81"/>
            <rFont val="Candara"/>
          </rPr>
          <t>Tem ou não contabilidade organizada? No caso de contabilidade organizada, a determinação do rendimento relevante pode ser diferente.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F20" authorId="0">
      <text>
        <r>
          <rPr>
            <sz val="10"/>
            <color indexed="81"/>
            <rFont val="Candara"/>
          </rPr>
          <t>Se é trabalhador independente indique o montante global das prestações de serviços. As atividades hoteleiras e de restauração contam com uma forma de taxação diferente dos demais serviços.</t>
        </r>
      </text>
    </comment>
    <comment ref="D24" authorId="0">
      <text>
        <r>
          <rPr>
            <sz val="10"/>
            <color indexed="81"/>
            <rFont val="Candara"/>
          </rPr>
          <t>Indique o valor das vendas que realizou com a sua atividade de categoria B de IRS. 20% das vendas contam como rendimento anual relevante.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4" authorId="0">
      <text>
        <r>
          <rPr>
            <sz val="10"/>
            <color indexed="81"/>
            <rFont val="Candara"/>
          </rPr>
          <t>O Lucro tributável é o resultado da dedução de todos os custos inerentes e imprescindíveis à atividade à totalidade dos proveitos.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<sst xmlns="http://schemas.openxmlformats.org/spreadsheetml/2006/main" count="208" uniqueCount="71">
  <si>
    <t>?</t>
  </si>
  <si>
    <t>Menos de 180 dias</t>
  </si>
  <si>
    <t>Entre 180 e 360 dias</t>
  </si>
  <si>
    <t>360 ou mais dias</t>
  </si>
  <si>
    <t>Menos de 30 anos</t>
  </si>
  <si>
    <t>Entre 30 e 39 anos</t>
  </si>
  <si>
    <t>Entre 40 e 44 anos</t>
  </si>
  <si>
    <t>45 ou mais anos</t>
  </si>
  <si>
    <t>Escolha</t>
  </si>
  <si>
    <t>Entre 40 e 49 anos</t>
  </si>
  <si>
    <t>50 ou mais anos</t>
  </si>
  <si>
    <t>Sim</t>
  </si>
  <si>
    <t>Não</t>
  </si>
  <si>
    <t>Tabela 1 - Sim</t>
  </si>
  <si>
    <t>Site da Segurança Social</t>
  </si>
  <si>
    <t>Saiba qual será o valor da contribuição para a Segurança Social dos trabalhadores independentes e como se chega ao valor mensal a pagar ao Estado.</t>
  </si>
  <si>
    <t>Qual o tipo de atividade?</t>
  </si>
  <si>
    <t>Contabilidade organizada?</t>
  </si>
  <si>
    <t>Produtores agrícolas com rendimentos exclusivos da agricultura</t>
  </si>
  <si>
    <t>Empresários em nome individual com rendimentos exclusivos de atividade comercial ou industrial</t>
  </si>
  <si>
    <t>Titulares de estabelecimento individual de responsabilidade limitada (EIRL)</t>
  </si>
  <si>
    <t>PREENCHA OS CAMPOS A BRANCO</t>
  </si>
  <si>
    <t>Atividades hoteleiras e similares, restauração e bebidas</t>
  </si>
  <si>
    <t>RESULTADOS</t>
  </si>
  <si>
    <t xml:space="preserve">PREENCHA OS CAMPOS QUE SE AJUSTAM AO SEU CASO </t>
  </si>
  <si>
    <t xml:space="preserve">Geral  </t>
  </si>
  <si>
    <t>Rendimento relevante</t>
  </si>
  <si>
    <t>Taxa de contribuição</t>
  </si>
  <si>
    <t>Linha</t>
  </si>
  <si>
    <t>Coluna</t>
  </si>
  <si>
    <t>Resultado</t>
  </si>
  <si>
    <t>RR/12</t>
  </si>
  <si>
    <t>Escalão</t>
  </si>
  <si>
    <t>Utilize as ajudas para o preenchimento sinalizadas por</t>
  </si>
  <si>
    <t>Contribuição mensal oficiosa</t>
  </si>
  <si>
    <r>
      <rPr>
        <b/>
        <i/>
        <sz val="10"/>
        <color theme="1" tint="0.499984740745262"/>
        <rFont val="Candara"/>
      </rPr>
      <t>Nota</t>
    </r>
    <r>
      <rPr>
        <i/>
        <sz val="10"/>
        <color theme="1" tint="0.499984740745262"/>
        <rFont val="Candara"/>
      </rPr>
      <t>: O simulador é meramente indicativo. O Saldo Positivo (saldopositivo.cgd.pt) não se responsabiliza por diferenças de valores face aos verificados na realidade. Todas as informações aqui constantes não substituem a consulta da informação legal. Para saber mais sobre este assunto contacte a Segurança Social.</t>
    </r>
  </si>
  <si>
    <t>CALCULADORA DE CONTRIBUIÇÕES PARA A SEGURANÇA SOCIAL</t>
  </si>
  <si>
    <t>Valor anual das prestações de serviços?</t>
  </si>
  <si>
    <t>Valor anual das vendas?</t>
  </si>
  <si>
    <t>ATENÇÃO: Se está a reiniciar atividade pode:</t>
  </si>
  <si>
    <t>Prestação de serviços: 15.000 € / ano</t>
  </si>
  <si>
    <t>Sem contabilidade organizada</t>
  </si>
  <si>
    <t>Exemplo 1</t>
  </si>
  <si>
    <t>Com contabilidade organizada</t>
  </si>
  <si>
    <t>* O lucro tributável consiste na dedução dos custos inerentes à atividade à totalidade dos proveitos</t>
  </si>
  <si>
    <t>Empresário em nome individual que já tinha atividade no ano anterior, pagando contribuição mensal</t>
  </si>
  <si>
    <r>
      <t>Lucro tributável</t>
    </r>
    <r>
      <rPr>
        <sz val="13"/>
        <color rgb="FF3366FF"/>
        <rFont val="Candara"/>
      </rPr>
      <t>*</t>
    </r>
    <r>
      <rPr>
        <sz val="13"/>
        <color theme="1" tint="0.249977111117893"/>
        <rFont val="Candara"/>
      </rPr>
      <t>: 20.000 € / ano</t>
    </r>
  </si>
  <si>
    <t>Vendas totais: 60.000 € / ano</t>
  </si>
  <si>
    <t>Escalão 1</t>
  </si>
  <si>
    <t>Escalão 2</t>
  </si>
  <si>
    <t>Escalão 3</t>
  </si>
  <si>
    <t>Escalão 4</t>
  </si>
  <si>
    <t>Escalão 5</t>
  </si>
  <si>
    <t>Escalão 6</t>
  </si>
  <si>
    <t>Escalão 7</t>
  </si>
  <si>
    <t>Escalão 8</t>
  </si>
  <si>
    <t>Escalão 9</t>
  </si>
  <si>
    <t>Escalão 10</t>
  </si>
  <si>
    <t>Escalão 11</t>
  </si>
  <si>
    <t>Prestadores de serviços</t>
  </si>
  <si>
    <t>50% IAS</t>
  </si>
  <si>
    <t>Pode optar por escolher até dois escalões abaixo ou dois escalões acima da contribuição oficiosa definida pela Segurança Social</t>
  </si>
  <si>
    <t>Pode optar por prescindir do pagamento de contribuição com base em 50% do IAS e ficar enquadrado no Escalão 1</t>
  </si>
  <si>
    <t>Contribuições alternativas</t>
  </si>
  <si>
    <t>Pode pedir a cessação do enquadramento para ficar isento</t>
  </si>
  <si>
    <r>
      <rPr>
        <b/>
        <sz val="11"/>
        <color theme="0"/>
        <rFont val="Candara"/>
      </rPr>
      <t>Se está a reiniciar atividade pode manter</t>
    </r>
    <r>
      <rPr>
        <sz val="11"/>
        <color theme="0"/>
        <rFont val="Candara"/>
      </rPr>
      <t xml:space="preserve"> o mesmo valor de contribuição, se já tinha sido fixado no mês de </t>
    </r>
    <r>
      <rPr>
        <u/>
        <sz val="11"/>
        <color theme="0"/>
        <rFont val="Candara"/>
      </rPr>
      <t>outubro anterior à data de reinício</t>
    </r>
  </si>
  <si>
    <r>
      <rPr>
        <b/>
        <sz val="11"/>
        <color theme="0"/>
        <rFont val="Candara"/>
      </rPr>
      <t>b)</t>
    </r>
    <r>
      <rPr>
        <sz val="11"/>
        <color theme="0"/>
        <rFont val="Candara"/>
      </rPr>
      <t xml:space="preserve"> Ficar no escalão 1 por defeito (419,22 de base contributiva) se não teve atividade nos 12 meses anteriores;</t>
    </r>
  </si>
  <si>
    <t>Trabalhador independente prestador de serviços</t>
  </si>
  <si>
    <t>-</t>
  </si>
  <si>
    <t>ATENÇÃO: Pode pedir a cessação do enquadramento para ficar isento</t>
  </si>
  <si>
    <t>Valor anual da prestação de serviços?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</si>
</sst>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\-#,##0.00\ "/>
    <numFmt numFmtId="166" formatCode="#,##0.00\ &quot;€&quot;;[Red]#,##0.00\ &quot;€&quot;"/>
  </numFmts>
  <fonts count="5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0"/>
      <name val="Candara"/>
    </font>
    <font>
      <sz val="12"/>
      <color theme="0"/>
      <name val="Candara"/>
    </font>
    <font>
      <sz val="14"/>
      <color theme="0"/>
      <name val="Candara"/>
    </font>
    <font>
      <sz val="13"/>
      <color theme="1" tint="0.14999847407452621"/>
      <name val="Candara"/>
    </font>
    <font>
      <sz val="14"/>
      <name val="Candara"/>
    </font>
    <font>
      <sz val="13"/>
      <color theme="0"/>
      <name val="Candara"/>
    </font>
    <font>
      <sz val="12"/>
      <color theme="1"/>
      <name val="Candara"/>
    </font>
    <font>
      <b/>
      <sz val="14"/>
      <color theme="0"/>
      <name val="Candar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 tint="0.14999847407452621"/>
      <name val="Candara"/>
    </font>
    <font>
      <b/>
      <sz val="13"/>
      <color theme="1" tint="0.249977111117893"/>
      <name val="Candara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1"/>
      <name val="Calibri"/>
      <family val="2"/>
    </font>
    <font>
      <sz val="10"/>
      <color indexed="81"/>
      <name val="Candara"/>
    </font>
    <font>
      <b/>
      <sz val="20"/>
      <color theme="0"/>
      <name val="Candara"/>
    </font>
    <font>
      <sz val="11"/>
      <color theme="1" tint="0.249977111117893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249977111117893"/>
      <name val="Candara"/>
    </font>
    <font>
      <sz val="12"/>
      <color theme="1" tint="0.249977111117893"/>
      <name val="Candara"/>
    </font>
    <font>
      <sz val="22"/>
      <color theme="1"/>
      <name val="Calibri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ndara"/>
    </font>
    <font>
      <sz val="22"/>
      <color theme="0"/>
      <name val="Calibri"/>
      <scheme val="minor"/>
    </font>
    <font>
      <i/>
      <sz val="12"/>
      <color theme="0"/>
      <name val="Candara"/>
    </font>
    <font>
      <b/>
      <sz val="13"/>
      <color theme="0"/>
      <name val="Candara"/>
    </font>
    <font>
      <b/>
      <sz val="16"/>
      <color theme="0"/>
      <name val="Calibri"/>
      <scheme val="minor"/>
    </font>
    <font>
      <b/>
      <sz val="24"/>
      <color theme="0"/>
      <name val="Candara"/>
    </font>
    <font>
      <sz val="11"/>
      <color theme="0"/>
      <name val="Candara"/>
    </font>
    <font>
      <sz val="9"/>
      <color theme="0"/>
      <name val="Arial,Bold"/>
    </font>
    <font>
      <sz val="10"/>
      <color theme="0"/>
      <name val="Candara"/>
    </font>
    <font>
      <sz val="10"/>
      <color theme="1" tint="0.249977111117893"/>
      <name val="Candara"/>
    </font>
    <font>
      <b/>
      <sz val="13"/>
      <name val="Candara"/>
    </font>
    <font>
      <i/>
      <sz val="10"/>
      <color theme="1" tint="0.499984740745262"/>
      <name val="Candara"/>
    </font>
    <font>
      <b/>
      <i/>
      <sz val="10"/>
      <color theme="1" tint="0.499984740745262"/>
      <name val="Candara"/>
    </font>
    <font>
      <sz val="12"/>
      <color theme="1" tint="0.499984740745262"/>
      <name val="Candara"/>
    </font>
    <font>
      <b/>
      <sz val="12"/>
      <color theme="0"/>
      <name val="Candara"/>
    </font>
    <font>
      <sz val="12"/>
      <color theme="0" tint="-0.499984740745262"/>
      <name val="Candara"/>
    </font>
    <font>
      <sz val="11"/>
      <color theme="1" tint="0.249977111117893"/>
      <name val="Candara"/>
    </font>
    <font>
      <sz val="13"/>
      <color theme="1" tint="0.249977111117893"/>
      <name val="Candara"/>
    </font>
    <font>
      <sz val="14"/>
      <color theme="1" tint="0.249977111117893"/>
      <name val="Candara"/>
    </font>
    <font>
      <i/>
      <sz val="11"/>
      <color rgb="FF3366FF"/>
      <name val="Candara"/>
    </font>
    <font>
      <sz val="13"/>
      <color rgb="FF3366FF"/>
      <name val="Candara"/>
    </font>
    <font>
      <u/>
      <sz val="12"/>
      <color theme="1" tint="0.249977111117893"/>
      <name val="Candara"/>
    </font>
    <font>
      <b/>
      <sz val="16"/>
      <color theme="0"/>
      <name val="Candara"/>
    </font>
    <font>
      <b/>
      <sz val="11"/>
      <color theme="0"/>
      <name val="Candara"/>
    </font>
    <font>
      <u/>
      <sz val="11"/>
      <color theme="0"/>
      <name val="Candara"/>
    </font>
    <font>
      <b/>
      <sz val="14"/>
      <color rgb="FF404040"/>
      <name val="Candara"/>
    </font>
    <font>
      <b/>
      <sz val="20"/>
      <color rgb="FFFFFFFF"/>
      <name val="Candara"/>
    </font>
    <font>
      <sz val="13"/>
      <color rgb="FF404040"/>
      <name val="Candara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856"/>
        <bgColor indexed="64"/>
      </patternFill>
    </fill>
    <fill>
      <patternFill patternType="solid">
        <fgColor rgb="FFF2F2F2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 tint="0.249977111117893"/>
      </right>
      <top/>
      <bottom/>
      <diagonal/>
    </border>
    <border>
      <left/>
      <right style="thin">
        <color rgb="FF3366FF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1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7">
    <xf numFmtId="0" fontId="0" fillId="0" borderId="0" xfId="0"/>
    <xf numFmtId="0" fontId="5" fillId="3" borderId="0" xfId="0" applyFont="1" applyFill="1" applyBorder="1"/>
    <xf numFmtId="0" fontId="6" fillId="3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4" fontId="8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1"/>
    </xf>
    <xf numFmtId="0" fontId="13" fillId="3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wrapText="1"/>
    </xf>
    <xf numFmtId="0" fontId="12" fillId="2" borderId="0" xfId="1" applyNumberFormat="1" applyFont="1" applyFill="1" applyBorder="1" applyAlignment="1"/>
    <xf numFmtId="0" fontId="15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44" fontId="4" fillId="0" borderId="0" xfId="1" applyFont="1" applyFill="1" applyBorder="1" applyAlignment="1" applyProtection="1">
      <protection hidden="1"/>
    </xf>
    <xf numFmtId="0" fontId="14" fillId="0" borderId="0" xfId="0" applyFont="1" applyFill="1" applyProtection="1">
      <protection hidden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5" fillId="2" borderId="0" xfId="0" applyFont="1" applyFill="1" applyBorder="1" applyAlignment="1" applyProtection="1">
      <alignment vertical="center" wrapText="1"/>
      <protection locked="0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indent="1"/>
    </xf>
    <xf numFmtId="0" fontId="12" fillId="3" borderId="0" xfId="0" applyFont="1" applyFill="1" applyBorder="1" applyAlignment="1"/>
    <xf numFmtId="0" fontId="12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22" fillId="3" borderId="0" xfId="0" applyFont="1" applyFill="1" applyBorder="1" applyAlignment="1"/>
    <xf numFmtId="0" fontId="24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23" fillId="3" borderId="0" xfId="0" applyFont="1" applyFill="1" applyBorder="1" applyAlignment="1" applyProtection="1">
      <alignment horizontal="left" indent="1"/>
      <protection locked="0"/>
    </xf>
    <xf numFmtId="0" fontId="23" fillId="2" borderId="0" xfId="0" applyFont="1" applyFill="1" applyBorder="1" applyAlignment="1">
      <alignment wrapText="1"/>
    </xf>
    <xf numFmtId="0" fontId="26" fillId="2" borderId="0" xfId="0" applyFont="1" applyFill="1" applyBorder="1" applyAlignment="1">
      <alignment horizontal="center"/>
    </xf>
    <xf numFmtId="7" fontId="3" fillId="2" borderId="0" xfId="1" applyNumberFormat="1" applyFont="1" applyFill="1" applyBorder="1" applyAlignment="1" applyProtection="1">
      <protection locked="0"/>
    </xf>
    <xf numFmtId="0" fontId="0" fillId="2" borderId="0" xfId="0" applyFill="1" applyBorder="1"/>
    <xf numFmtId="0" fontId="27" fillId="2" borderId="0" xfId="0" applyFont="1" applyFill="1" applyBorder="1" applyAlignment="1">
      <alignment vertical="center"/>
    </xf>
    <xf numFmtId="7" fontId="3" fillId="2" borderId="0" xfId="1" applyNumberFormat="1" applyFont="1" applyFill="1" applyBorder="1" applyAlignment="1" applyProtection="1">
      <alignment horizontal="center"/>
      <protection locked="0"/>
    </xf>
    <xf numFmtId="0" fontId="28" fillId="2" borderId="0" xfId="0" applyFont="1" applyFill="1" applyBorder="1" applyAlignment="1">
      <alignment wrapText="1"/>
    </xf>
    <xf numFmtId="0" fontId="0" fillId="3" borderId="0" xfId="0" applyFill="1" applyBorder="1"/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15" fillId="0" borderId="0" xfId="0" applyFont="1"/>
    <xf numFmtId="10" fontId="4" fillId="0" borderId="0" xfId="0" applyNumberFormat="1" applyFont="1" applyFill="1" applyBorder="1" applyAlignment="1" applyProtection="1">
      <alignment wrapText="1"/>
      <protection hidden="1"/>
    </xf>
    <xf numFmtId="165" fontId="15" fillId="0" borderId="0" xfId="0" applyNumberFormat="1" applyFont="1" applyFill="1" applyProtection="1">
      <protection hidden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Border="1" applyProtection="1">
      <protection hidden="1"/>
    </xf>
    <xf numFmtId="0" fontId="20" fillId="0" borderId="0" xfId="0" applyFont="1"/>
    <xf numFmtId="0" fontId="3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164" fontId="39" fillId="5" borderId="0" xfId="0" applyNumberFormat="1" applyFont="1" applyFill="1" applyBorder="1" applyAlignment="1" applyProtection="1">
      <alignment horizontal="left" vertical="center" wrapText="1" indent="1"/>
      <protection hidden="1"/>
    </xf>
    <xf numFmtId="164" fontId="23" fillId="3" borderId="0" xfId="0" applyNumberFormat="1" applyFont="1" applyFill="1" applyBorder="1" applyAlignment="1" applyProtection="1">
      <alignment horizontal="left" wrapText="1" indent="1"/>
      <protection locked="0"/>
    </xf>
    <xf numFmtId="164" fontId="8" fillId="3" borderId="0" xfId="0" applyNumberFormat="1" applyFont="1" applyFill="1" applyBorder="1" applyAlignment="1" applyProtection="1">
      <alignment horizontal="left" indent="1"/>
      <protection locked="0"/>
    </xf>
    <xf numFmtId="164" fontId="23" fillId="2" borderId="0" xfId="0" applyNumberFormat="1" applyFont="1" applyFill="1" applyBorder="1" applyAlignment="1" applyProtection="1">
      <alignment horizontal="left" indent="1"/>
      <protection locked="0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25" fillId="3" borderId="0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15" fillId="3" borderId="0" xfId="0" applyFont="1" applyFill="1" applyProtection="1">
      <protection hidden="1"/>
    </xf>
    <xf numFmtId="0" fontId="15" fillId="3" borderId="0" xfId="0" applyFont="1" applyFill="1" applyAlignment="1" applyProtection="1">
      <alignment vertical="top" wrapText="1"/>
      <protection hidden="1"/>
    </xf>
    <xf numFmtId="0" fontId="15" fillId="0" borderId="0" xfId="0" applyFont="1" applyFill="1" applyProtection="1">
      <protection hidden="1"/>
    </xf>
    <xf numFmtId="0" fontId="20" fillId="3" borderId="0" xfId="0" applyFont="1" applyFill="1" applyProtection="1">
      <protection hidden="1"/>
    </xf>
    <xf numFmtId="44" fontId="36" fillId="6" borderId="0" xfId="1" applyFont="1" applyFill="1" applyBorder="1" applyAlignment="1" applyProtection="1">
      <alignment horizontal="center" vertical="center" wrapText="1"/>
      <protection hidden="1"/>
    </xf>
    <xf numFmtId="0" fontId="37" fillId="3" borderId="0" xfId="0" applyFont="1" applyFill="1" applyAlignment="1" applyProtection="1">
      <alignment horizontal="left" wrapText="1" indent="1"/>
      <protection hidden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164" fontId="31" fillId="4" borderId="0" xfId="0" applyNumberFormat="1" applyFont="1" applyFill="1" applyBorder="1" applyAlignment="1" applyProtection="1">
      <alignment horizontal="center" vertical="center"/>
      <protection hidden="1"/>
    </xf>
    <xf numFmtId="164" fontId="31" fillId="4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Protection="1">
      <protection hidden="1"/>
    </xf>
    <xf numFmtId="0" fontId="23" fillId="3" borderId="0" xfId="0" applyFont="1" applyFill="1" applyBorder="1" applyAlignment="1" applyProtection="1">
      <alignment horizontal="left" vertical="center" wrapText="1" indent="1"/>
      <protection locked="0"/>
    </xf>
    <xf numFmtId="44" fontId="4" fillId="0" borderId="0" xfId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>
      <alignment horizontal="left" vertical="top" wrapText="1" indent="1"/>
    </xf>
    <xf numFmtId="0" fontId="22" fillId="3" borderId="0" xfId="0" applyFont="1" applyFill="1" applyBorder="1"/>
    <xf numFmtId="164" fontId="9" fillId="0" borderId="0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Alignment="1">
      <alignment horizontal="left" vertical="center" indent="1"/>
    </xf>
    <xf numFmtId="0" fontId="35" fillId="7" borderId="0" xfId="0" applyFont="1" applyFill="1" applyBorder="1" applyAlignment="1">
      <alignment horizontal="center"/>
    </xf>
    <xf numFmtId="0" fontId="18" fillId="5" borderId="0" xfId="0" applyFont="1" applyFill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vertical="top" wrapText="1"/>
      <protection hidden="1"/>
    </xf>
    <xf numFmtId="0" fontId="43" fillId="5" borderId="0" xfId="0" applyFont="1" applyFill="1" applyBorder="1" applyAlignment="1" applyProtection="1">
      <alignment horizontal="left" vertical="top" wrapText="1"/>
      <protection hidden="1"/>
    </xf>
    <xf numFmtId="0" fontId="43" fillId="5" borderId="0" xfId="0" applyFont="1" applyFill="1" applyBorder="1" applyAlignment="1" applyProtection="1">
      <alignment vertical="top" wrapText="1"/>
      <protection hidden="1"/>
    </xf>
    <xf numFmtId="0" fontId="44" fillId="5" borderId="0" xfId="0" applyFont="1" applyFill="1" applyBorder="1" applyAlignment="1" applyProtection="1">
      <alignment wrapText="1"/>
      <protection hidden="1"/>
    </xf>
    <xf numFmtId="0" fontId="4" fillId="5" borderId="0" xfId="0" applyFont="1" applyFill="1" applyBorder="1" applyAlignment="1" applyProtection="1">
      <alignment wrapText="1"/>
      <protection hidden="1"/>
    </xf>
    <xf numFmtId="0" fontId="7" fillId="5" borderId="1" xfId="0" applyFont="1" applyFill="1" applyBorder="1" applyAlignment="1" applyProtection="1">
      <alignment vertical="top" wrapText="1"/>
      <protection hidden="1"/>
    </xf>
    <xf numFmtId="0" fontId="43" fillId="5" borderId="1" xfId="0" applyFont="1" applyFill="1" applyBorder="1" applyAlignment="1" applyProtection="1">
      <alignment horizontal="left" vertical="top" wrapText="1"/>
      <protection hidden="1"/>
    </xf>
    <xf numFmtId="0" fontId="43" fillId="5" borderId="1" xfId="0" applyFont="1" applyFill="1" applyBorder="1" applyAlignment="1" applyProtection="1">
      <alignment vertical="top" wrapText="1"/>
      <protection hidden="1"/>
    </xf>
    <xf numFmtId="0" fontId="44" fillId="5" borderId="1" xfId="0" applyFont="1" applyFill="1" applyBorder="1" applyAlignment="1" applyProtection="1">
      <alignment wrapText="1"/>
      <protection hidden="1"/>
    </xf>
    <xf numFmtId="0" fontId="4" fillId="5" borderId="1" xfId="0" applyFont="1" applyFill="1" applyBorder="1" applyAlignment="1" applyProtection="1">
      <alignment wrapText="1"/>
      <protection hidden="1"/>
    </xf>
    <xf numFmtId="0" fontId="13" fillId="3" borderId="0" xfId="0" applyFont="1" applyFill="1" applyBorder="1" applyAlignment="1" applyProtection="1">
      <alignment horizontal="left" indent="1"/>
      <protection hidden="1"/>
    </xf>
    <xf numFmtId="0" fontId="5" fillId="3" borderId="0" xfId="0" applyFont="1" applyFill="1" applyBorder="1" applyProtection="1">
      <protection hidden="1"/>
    </xf>
    <xf numFmtId="0" fontId="6" fillId="3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22" fillId="3" borderId="0" xfId="0" applyFont="1" applyFill="1" applyBorder="1" applyProtection="1">
      <protection hidden="1"/>
    </xf>
    <xf numFmtId="0" fontId="35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3" fillId="3" borderId="0" xfId="0" applyFont="1" applyFill="1" applyBorder="1" applyAlignment="1" applyProtection="1">
      <alignment horizontal="left" vertical="center" wrapText="1" indent="1"/>
      <protection hidden="1"/>
    </xf>
    <xf numFmtId="0" fontId="0" fillId="2" borderId="0" xfId="0" applyFill="1" applyBorder="1" applyProtection="1"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horizontal="left" indent="1"/>
      <protection hidden="1"/>
    </xf>
    <xf numFmtId="0" fontId="23" fillId="3" borderId="0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Border="1" applyAlignment="1" applyProtection="1">
      <alignment horizontal="left" indent="1"/>
      <protection hidden="1"/>
    </xf>
    <xf numFmtId="0" fontId="12" fillId="3" borderId="0" xfId="0" applyFont="1" applyFill="1" applyBorder="1" applyAlignment="1" applyProtection="1">
      <protection hidden="1"/>
    </xf>
    <xf numFmtId="0" fontId="12" fillId="3" borderId="0" xfId="0" applyFont="1" applyFill="1" applyBorder="1" applyAlignment="1" applyProtection="1">
      <alignment horizontal="right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0" fontId="22" fillId="3" borderId="0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23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164" fontId="23" fillId="3" borderId="0" xfId="0" applyNumberFormat="1" applyFont="1" applyFill="1" applyBorder="1" applyAlignment="1" applyProtection="1">
      <alignment horizontal="left" wrapText="1" indent="1"/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7" fontId="3" fillId="2" borderId="0" xfId="1" applyNumberFormat="1" applyFont="1" applyFill="1" applyBorder="1" applyAlignment="1" applyProtection="1">
      <alignment horizontal="center"/>
      <protection hidden="1"/>
    </xf>
    <xf numFmtId="0" fontId="12" fillId="2" borderId="0" xfId="1" applyNumberFormat="1" applyFont="1" applyFill="1" applyBorder="1" applyAlignment="1" applyProtection="1">
      <protection hidden="1"/>
    </xf>
    <xf numFmtId="44" fontId="8" fillId="2" borderId="0" xfId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left" indent="1"/>
      <protection hidden="1"/>
    </xf>
    <xf numFmtId="7" fontId="3" fillId="2" borderId="0" xfId="1" applyNumberFormat="1" applyFont="1" applyFill="1" applyBorder="1" applyAlignment="1" applyProtection="1">
      <protection hidden="1"/>
    </xf>
    <xf numFmtId="164" fontId="23" fillId="2" borderId="0" xfId="0" applyNumberFormat="1" applyFont="1" applyFill="1" applyBorder="1" applyAlignment="1" applyProtection="1">
      <alignment horizontal="left" indent="1"/>
      <protection hidden="1"/>
    </xf>
    <xf numFmtId="0" fontId="0" fillId="3" borderId="0" xfId="0" applyFill="1" applyBorder="1" applyProtection="1">
      <protection hidden="1"/>
    </xf>
    <xf numFmtId="0" fontId="15" fillId="0" borderId="0" xfId="0" applyFont="1" applyProtection="1">
      <protection hidden="1"/>
    </xf>
    <xf numFmtId="0" fontId="15" fillId="3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Protection="1">
      <protection hidden="1"/>
    </xf>
    <xf numFmtId="0" fontId="45" fillId="5" borderId="0" xfId="0" applyFont="1" applyFill="1" applyBorder="1" applyAlignment="1" applyProtection="1">
      <alignment horizontal="left" vertical="top" wrapText="1"/>
      <protection hidden="1"/>
    </xf>
    <xf numFmtId="0" fontId="29" fillId="4" borderId="0" xfId="0" applyFont="1" applyFill="1" applyBorder="1" applyAlignment="1" applyProtection="1">
      <alignment horizontal="center" vertical="center" wrapText="1"/>
      <protection hidden="1"/>
    </xf>
    <xf numFmtId="164" fontId="42" fillId="7" borderId="0" xfId="0" applyNumberFormat="1" applyFont="1" applyFill="1" applyBorder="1" applyAlignment="1" applyProtection="1">
      <alignment horizontal="center" vertical="center" wrapText="1"/>
      <protection hidden="1"/>
    </xf>
    <xf numFmtId="0" fontId="39" fillId="5" borderId="4" xfId="0" applyFont="1" applyFill="1" applyBorder="1" applyAlignment="1" applyProtection="1">
      <alignment horizontal="left" vertical="center" wrapText="1" indent="1"/>
      <protection hidden="1"/>
    </xf>
    <xf numFmtId="0" fontId="40" fillId="5" borderId="4" xfId="0" applyFont="1" applyFill="1" applyBorder="1" applyAlignment="1" applyProtection="1">
      <alignment horizontal="center" vertical="center" wrapText="1"/>
      <protection hidden="1"/>
    </xf>
    <xf numFmtId="164" fontId="39" fillId="5" borderId="4" xfId="0" applyNumberFormat="1" applyFont="1" applyFill="1" applyBorder="1" applyAlignment="1" applyProtection="1">
      <alignment horizontal="right" vertical="center" wrapText="1"/>
      <protection hidden="1"/>
    </xf>
    <xf numFmtId="164" fontId="40" fillId="5" borderId="4" xfId="0" applyNumberFormat="1" applyFont="1" applyFill="1" applyBorder="1" applyAlignment="1" applyProtection="1">
      <alignment vertical="center"/>
      <protection hidden="1"/>
    </xf>
    <xf numFmtId="166" fontId="22" fillId="5" borderId="4" xfId="0" applyNumberFormat="1" applyFont="1" applyFill="1" applyBorder="1" applyAlignment="1" applyProtection="1">
      <alignment horizontal="left" indent="1"/>
      <protection hidden="1"/>
    </xf>
    <xf numFmtId="0" fontId="47" fillId="5" borderId="4" xfId="0" applyFont="1" applyFill="1" applyBorder="1" applyAlignment="1" applyProtection="1">
      <protection hidden="1"/>
    </xf>
    <xf numFmtId="164" fontId="22" fillId="5" borderId="4" xfId="0" applyNumberFormat="1" applyFont="1" applyFill="1" applyBorder="1" applyAlignment="1" applyProtection="1">
      <alignment horizontal="right"/>
      <protection hidden="1"/>
    </xf>
    <xf numFmtId="166" fontId="39" fillId="5" borderId="4" xfId="0" applyNumberFormat="1" applyFont="1" applyFill="1" applyBorder="1" applyAlignment="1" applyProtection="1">
      <alignment horizontal="left" indent="1"/>
      <protection hidden="1"/>
    </xf>
    <xf numFmtId="164" fontId="39" fillId="5" borderId="4" xfId="0" applyNumberFormat="1" applyFont="1" applyFill="1" applyBorder="1" applyAlignment="1" applyProtection="1">
      <alignment horizontal="right"/>
      <protection hidden="1"/>
    </xf>
    <xf numFmtId="0" fontId="40" fillId="5" borderId="5" xfId="0" applyFont="1" applyFill="1" applyBorder="1" applyAlignment="1" applyProtection="1">
      <alignment horizontal="center" vertical="center" wrapText="1"/>
      <protection hidden="1"/>
    </xf>
    <xf numFmtId="0" fontId="39" fillId="5" borderId="5" xfId="0" applyFont="1" applyFill="1" applyBorder="1" applyAlignment="1" applyProtection="1">
      <alignment vertical="center" wrapText="1"/>
      <protection hidden="1"/>
    </xf>
    <xf numFmtId="0" fontId="47" fillId="5" borderId="5" xfId="0" applyFont="1" applyFill="1" applyBorder="1" applyAlignment="1" applyProtection="1">
      <protection hidden="1"/>
    </xf>
    <xf numFmtId="0" fontId="47" fillId="5" borderId="0" xfId="0" applyFont="1" applyFill="1" applyBorder="1" applyAlignment="1" applyProtection="1">
      <protection hidden="1"/>
    </xf>
    <xf numFmtId="164" fontId="39" fillId="5" borderId="0" xfId="0" applyNumberFormat="1" applyFont="1" applyFill="1" applyBorder="1" applyAlignment="1" applyProtection="1">
      <alignment horizontal="right"/>
      <protection hidden="1"/>
    </xf>
    <xf numFmtId="0" fontId="23" fillId="5" borderId="0" xfId="0" applyFont="1" applyFill="1" applyAlignment="1" applyProtection="1">
      <alignment horizontal="left" indent="1"/>
      <protection hidden="1"/>
    </xf>
    <xf numFmtId="164" fontId="23" fillId="5" borderId="0" xfId="0" applyNumberFormat="1" applyFont="1" applyFill="1" applyBorder="1" applyAlignment="1" applyProtection="1">
      <alignment horizontal="center" wrapText="1"/>
      <protection hidden="1"/>
    </xf>
    <xf numFmtId="10" fontId="23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41" fillId="3" borderId="0" xfId="0" applyFont="1" applyFill="1" applyAlignment="1" applyProtection="1">
      <alignment horizontal="left" indent="1"/>
      <protection hidden="1"/>
    </xf>
    <xf numFmtId="10" fontId="39" fillId="3" borderId="0" xfId="0" applyNumberFormat="1" applyFont="1" applyFill="1" applyBorder="1" applyAlignment="1" applyProtection="1">
      <alignment vertical="center" wrapText="1"/>
      <protection hidden="1"/>
    </xf>
    <xf numFmtId="166" fontId="22" fillId="5" borderId="0" xfId="0" applyNumberFormat="1" applyFont="1" applyFill="1" applyBorder="1" applyAlignment="1" applyProtection="1">
      <alignment horizontal="left" indent="1"/>
      <protection hidden="1"/>
    </xf>
    <xf numFmtId="0" fontId="5" fillId="3" borderId="0" xfId="0" applyFont="1" applyFill="1" applyBorder="1" applyAlignment="1" applyProtection="1">
      <alignment vertical="center" wrapText="1"/>
      <protection locked="0"/>
    </xf>
    <xf numFmtId="0" fontId="40" fillId="2" borderId="2" xfId="0" applyFont="1" applyFill="1" applyBorder="1" applyAlignment="1">
      <alignment horizontal="center"/>
    </xf>
    <xf numFmtId="0" fontId="0" fillId="2" borderId="2" xfId="0" applyFont="1" applyFill="1" applyBorder="1" applyProtection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4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Protection="1"/>
    <xf numFmtId="0" fontId="0" fillId="2" borderId="2" xfId="0" applyFont="1" applyFill="1" applyBorder="1"/>
    <xf numFmtId="0" fontId="3" fillId="2" borderId="2" xfId="0" applyFont="1" applyFill="1" applyBorder="1" applyAlignment="1">
      <alignment horizontal="left" wrapText="1" indent="1"/>
    </xf>
    <xf numFmtId="0" fontId="22" fillId="2" borderId="2" xfId="0" applyFont="1" applyFill="1" applyBorder="1" applyAlignment="1">
      <alignment horizontal="center"/>
    </xf>
    <xf numFmtId="0" fontId="23" fillId="5" borderId="0" xfId="0" applyFont="1" applyFill="1" applyAlignment="1" applyProtection="1">
      <alignment horizontal="left" vertical="center" indent="1"/>
      <protection hidden="1"/>
    </xf>
    <xf numFmtId="0" fontId="29" fillId="4" borderId="6" xfId="0" applyFont="1" applyFill="1" applyBorder="1" applyAlignment="1" applyProtection="1">
      <alignment horizontal="center" vertical="center" wrapText="1"/>
      <protection hidden="1"/>
    </xf>
    <xf numFmtId="164" fontId="42" fillId="3" borderId="0" xfId="0" applyNumberFormat="1" applyFont="1" applyFill="1" applyBorder="1" applyAlignment="1" applyProtection="1">
      <alignment vertical="center" wrapText="1"/>
      <protection hidden="1"/>
    </xf>
    <xf numFmtId="0" fontId="49" fillId="3" borderId="0" xfId="0" applyFont="1" applyFill="1" applyBorder="1" applyAlignment="1" applyProtection="1">
      <alignment horizontal="left" wrapText="1" indent="1"/>
      <protection hidden="1"/>
    </xf>
    <xf numFmtId="0" fontId="15" fillId="3" borderId="0" xfId="0" applyFont="1" applyFill="1" applyBorder="1" applyAlignment="1" applyProtection="1">
      <alignment vertical="center" wrapText="1"/>
      <protection hidden="1"/>
    </xf>
    <xf numFmtId="0" fontId="32" fillId="3" borderId="0" xfId="0" applyFont="1" applyFill="1" applyAlignment="1" applyProtection="1">
      <alignment horizontal="left" vertical="top" wrapText="1" indent="1"/>
      <protection hidden="1"/>
    </xf>
    <xf numFmtId="0" fontId="32" fillId="3" borderId="0" xfId="0" applyFont="1" applyFill="1" applyAlignment="1" applyProtection="1">
      <alignment horizontal="left" vertical="center" wrapText="1" indent="1"/>
      <protection hidden="1"/>
    </xf>
    <xf numFmtId="0" fontId="32" fillId="3" borderId="0" xfId="0" applyFont="1" applyFill="1" applyAlignment="1" applyProtection="1">
      <alignment vertical="center" wrapText="1"/>
      <protection hidden="1"/>
    </xf>
    <xf numFmtId="0" fontId="15" fillId="3" borderId="0" xfId="0" applyFont="1" applyFill="1" applyAlignment="1" applyProtection="1">
      <alignment horizontal="left" vertical="top" wrapText="1"/>
      <protection hidden="1"/>
    </xf>
    <xf numFmtId="0" fontId="15" fillId="3" borderId="0" xfId="0" applyFont="1" applyFill="1"/>
    <xf numFmtId="164" fontId="3" fillId="3" borderId="0" xfId="0" applyNumberFormat="1" applyFont="1" applyFill="1" applyAlignment="1" applyProtection="1">
      <alignment horizontal="left" vertical="center" indent="1"/>
      <protection hidden="1"/>
    </xf>
    <xf numFmtId="0" fontId="3" fillId="3" borderId="0" xfId="0" applyFont="1" applyFill="1" applyBorder="1" applyAlignment="1" applyProtection="1">
      <alignment horizontal="left" vertical="center" wrapText="1" indent="1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left" wrapText="1"/>
      <protection hidden="1"/>
    </xf>
    <xf numFmtId="0" fontId="3" fillId="3" borderId="0" xfId="0" applyFont="1" applyFill="1" applyBorder="1" applyAlignment="1" applyProtection="1">
      <alignment wrapText="1"/>
      <protection hidden="1"/>
    </xf>
    <xf numFmtId="44" fontId="33" fillId="3" borderId="0" xfId="0" applyNumberFormat="1" applyFont="1" applyFill="1" applyBorder="1" applyAlignment="1">
      <alignment vertical="center" wrapText="1"/>
    </xf>
    <xf numFmtId="0" fontId="15" fillId="3" borderId="0" xfId="0" applyFont="1" applyFill="1" applyBorder="1" applyAlignment="1"/>
    <xf numFmtId="8" fontId="33" fillId="3" borderId="0" xfId="0" applyNumberFormat="1" applyFont="1" applyFill="1" applyBorder="1" applyAlignment="1">
      <alignment vertical="center" wrapText="1"/>
    </xf>
    <xf numFmtId="0" fontId="14" fillId="3" borderId="0" xfId="0" applyFont="1" applyFill="1" applyProtection="1">
      <protection hidden="1"/>
    </xf>
    <xf numFmtId="164" fontId="15" fillId="3" borderId="0" xfId="0" applyNumberFormat="1" applyFont="1" applyFill="1" applyProtection="1">
      <protection hidden="1"/>
    </xf>
    <xf numFmtId="0" fontId="51" fillId="8" borderId="0" xfId="0" applyFont="1" applyFill="1" applyAlignment="1" applyProtection="1">
      <alignment vertical="center"/>
      <protection hidden="1"/>
    </xf>
    <xf numFmtId="0" fontId="52" fillId="8" borderId="0" xfId="0" applyFont="1" applyFill="1" applyAlignment="1" applyProtection="1">
      <alignment vertical="center"/>
      <protection hidden="1"/>
    </xf>
    <xf numFmtId="0" fontId="53" fillId="8" borderId="1" xfId="0" applyFont="1" applyFill="1" applyBorder="1" applyAlignment="1" applyProtection="1">
      <alignment vertical="top" wrapText="1"/>
      <protection hidden="1"/>
    </xf>
    <xf numFmtId="0" fontId="53" fillId="8" borderId="0" xfId="0" applyFont="1" applyFill="1" applyAlignment="1" applyProtection="1">
      <alignment horizontal="left" vertical="top" wrapText="1"/>
      <protection hidden="1"/>
    </xf>
    <xf numFmtId="0" fontId="53" fillId="8" borderId="1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vertical="center" wrapText="1"/>
      <protection hidden="1"/>
    </xf>
    <xf numFmtId="0" fontId="0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left" wrapText="1" inden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22" fillId="2" borderId="2" xfId="0" applyFont="1" applyFill="1" applyBorder="1" applyAlignment="1" applyProtection="1">
      <alignment horizontal="center"/>
      <protection hidden="1"/>
    </xf>
    <xf numFmtId="0" fontId="40" fillId="2" borderId="2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  <xf numFmtId="0" fontId="30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Border="1" applyAlignment="1" applyProtection="1">
      <alignment horizontal="right"/>
      <protection hidden="1"/>
    </xf>
    <xf numFmtId="164" fontId="3" fillId="3" borderId="0" xfId="0" applyNumberFormat="1" applyFont="1" applyFill="1" applyBorder="1" applyAlignment="1" applyProtection="1">
      <alignment horizontal="left" indent="1"/>
      <protection hidden="1"/>
    </xf>
    <xf numFmtId="0" fontId="27" fillId="3" borderId="0" xfId="0" applyFont="1" applyFill="1" applyAlignment="1" applyProtection="1">
      <alignment vertical="center"/>
      <protection hidden="1"/>
    </xf>
    <xf numFmtId="44" fontId="15" fillId="3" borderId="0" xfId="0" applyNumberFormat="1" applyFont="1" applyFill="1" applyBorder="1" applyAlignment="1" applyProtection="1">
      <alignment vertical="center" wrapText="1"/>
      <protection hidden="1"/>
    </xf>
    <xf numFmtId="44" fontId="33" fillId="3" borderId="0" xfId="0" applyNumberFormat="1" applyFont="1" applyFill="1" applyBorder="1" applyAlignment="1" applyProtection="1">
      <alignment vertical="center" wrapText="1"/>
      <protection hidden="1"/>
    </xf>
    <xf numFmtId="0" fontId="15" fillId="3" borderId="0" xfId="0" applyFont="1" applyFill="1" applyBorder="1" applyAlignment="1" applyProtection="1">
      <protection hidden="1"/>
    </xf>
    <xf numFmtId="8" fontId="33" fillId="3" borderId="0" xfId="0" applyNumberFormat="1" applyFont="1" applyFill="1" applyBorder="1" applyAlignment="1" applyProtection="1">
      <alignment vertical="center" wrapText="1"/>
      <protection hidden="1"/>
    </xf>
  </cellXfs>
  <cellStyles count="113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17">
    <dxf>
      <font>
        <color rgb="FF3366FF"/>
      </font>
      <fill>
        <patternFill patternType="solid">
          <fgColor indexed="64"/>
          <bgColor rgb="FF3366FF"/>
        </patternFill>
      </fill>
    </dxf>
    <dxf>
      <font>
        <b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</dxf>
    <dxf>
      <font>
        <color rgb="FF3366FF"/>
      </font>
      <fill>
        <patternFill patternType="solid">
          <fgColor indexed="64"/>
          <bgColor rgb="FF3366FF"/>
        </patternFill>
      </fill>
    </dxf>
    <dxf>
      <font>
        <color theme="1" tint="0.249977111117893"/>
      </font>
      <fill>
        <patternFill patternType="solid">
          <fgColor indexed="64"/>
          <bgColor theme="0"/>
        </patternFill>
      </fill>
    </dxf>
    <dxf>
      <font>
        <color rgb="FF3366FF"/>
      </font>
      <fill>
        <patternFill patternType="solid">
          <fgColor indexed="64"/>
          <bgColor rgb="FF3366FF"/>
        </patternFill>
      </fill>
    </dxf>
    <dxf>
      <font>
        <b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</dxf>
    <dxf>
      <font>
        <color rgb="FF3366FF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1" tint="0.249977111117893"/>
      </font>
      <fill>
        <patternFill patternType="solid">
          <fgColor indexed="64"/>
          <bgColor theme="0"/>
        </patternFill>
      </fill>
    </dxf>
    <dxf>
      <font>
        <color rgb="FF3366FF"/>
      </font>
      <fill>
        <patternFill patternType="solid">
          <fgColor indexed="64"/>
          <bgColor rgb="FF3366FF"/>
        </patternFill>
      </fill>
    </dxf>
    <dxf>
      <font>
        <b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</dxf>
    <dxf>
      <font>
        <b/>
        <i val="0"/>
        <color theme="1" tint="0.249977111117893"/>
      </font>
      <fill>
        <patternFill patternType="solid">
          <fgColor indexed="64"/>
          <bgColor theme="0" tint="-4.9989318521683403E-2"/>
        </patternFill>
      </fill>
    </dxf>
    <dxf>
      <font>
        <color rgb="FF3366FF"/>
      </font>
      <fill>
        <patternFill patternType="solid">
          <fgColor indexed="64"/>
          <bgColor rgb="FF3366FF"/>
        </patternFill>
      </fill>
    </dxf>
    <dxf>
      <font>
        <color theme="0"/>
      </font>
      <fill>
        <patternFill patternType="solid">
          <fgColor indexed="64"/>
          <bgColor rgb="FF3366FF"/>
        </patternFill>
      </fill>
    </dxf>
    <dxf>
      <font>
        <color theme="1" tint="0.249977111117893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saldopositivo.cgd.pt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868219</xdr:colOff>
      <xdr:row>2</xdr:row>
      <xdr:rowOff>1</xdr:rowOff>
    </xdr:from>
    <xdr:to>
      <xdr:col>17</xdr:col>
      <xdr:colOff>12700</xdr:colOff>
      <xdr:row>6</xdr:row>
      <xdr:rowOff>12700</xdr:rowOff>
    </xdr:to>
    <xdr:pic>
      <xdr:nvPicPr>
        <xdr:cNvPr id="2" name="Picture 1" descr="LogoSP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4319" y="381001"/>
          <a:ext cx="2306781" cy="1371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P237"/>
  <sheetViews>
    <sheetView showGridLines="0" showRowColHeaders="0" tabSelected="1" workbookViewId="0">
      <selection activeCell="C11" sqref="C11:K11"/>
    </sheetView>
  </sheetViews>
  <sheetFormatPr baseColWidth="10" defaultRowHeight="15" x14ac:dyDescent="0"/>
  <cols>
    <col min="1" max="1" width="7.33203125" customWidth="1"/>
    <col min="2" max="2" width="4.83203125" customWidth="1"/>
    <col min="3" max="3" width="25" customWidth="1"/>
    <col min="4" max="4" width="4.33203125" customWidth="1"/>
    <col min="5" max="5" width="5.33203125" customWidth="1"/>
    <col min="6" max="6" width="4.33203125" customWidth="1"/>
    <col min="7" max="7" width="3.5" customWidth="1"/>
    <col min="8" max="8" width="4.1640625" customWidth="1"/>
    <col min="9" max="9" width="25" customWidth="1"/>
    <col min="10" max="10" width="4.33203125" customWidth="1"/>
    <col min="11" max="11" width="11.1640625" customWidth="1"/>
    <col min="12" max="12" width="4.5" customWidth="1"/>
    <col min="13" max="13" width="4.33203125" customWidth="1"/>
    <col min="14" max="14" width="16" customWidth="1"/>
    <col min="15" max="15" width="7.1640625" customWidth="1"/>
    <col min="16" max="16" width="10" customWidth="1"/>
    <col min="17" max="17" width="8.33203125" customWidth="1"/>
    <col min="19" max="19" width="14.6640625" customWidth="1"/>
    <col min="23" max="23" width="17.83203125" bestFit="1" customWidth="1"/>
    <col min="24" max="24" width="18.1640625" bestFit="1" customWidth="1"/>
    <col min="25" max="25" width="12.5" bestFit="1" customWidth="1"/>
    <col min="26" max="26" width="18.1640625" bestFit="1" customWidth="1"/>
    <col min="27" max="27" width="13.1640625" customWidth="1"/>
    <col min="28" max="28" width="18.1640625" bestFit="1" customWidth="1"/>
    <col min="29" max="29" width="12.6640625" customWidth="1"/>
  </cols>
  <sheetData>
    <row r="1" spans="1:42"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42">
      <c r="R2" s="66"/>
      <c r="S2" s="66" t="s">
        <v>11</v>
      </c>
      <c r="T2" s="66"/>
      <c r="U2" s="66"/>
      <c r="V2" s="66"/>
      <c r="W2" s="66"/>
      <c r="X2" s="66"/>
      <c r="Y2" s="66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13"/>
      <c r="AM2" s="13"/>
      <c r="AN2" s="13"/>
      <c r="AO2" s="13"/>
      <c r="AP2" s="13"/>
    </row>
    <row r="3" spans="1:42" ht="40" customHeight="1">
      <c r="B3" s="82" t="s">
        <v>36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4"/>
      <c r="S3" s="66" t="s">
        <v>12</v>
      </c>
      <c r="T3" s="66"/>
      <c r="U3" s="66"/>
      <c r="V3" s="66"/>
      <c r="W3" s="66" t="s">
        <v>1</v>
      </c>
      <c r="X3" s="66"/>
      <c r="Y3" s="66">
        <v>1</v>
      </c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13"/>
      <c r="AM3" s="13"/>
      <c r="AN3" s="13"/>
      <c r="AO3" s="13"/>
      <c r="AP3" s="13"/>
    </row>
    <row r="4" spans="1:42" ht="20" customHeight="1">
      <c r="B4" s="79" t="s">
        <v>15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23"/>
      <c r="O4" s="8"/>
      <c r="P4" s="8"/>
      <c r="Q4" s="8"/>
      <c r="R4" s="49">
        <v>0.29599999999999999</v>
      </c>
      <c r="S4" s="78" t="s">
        <v>59</v>
      </c>
      <c r="T4" s="78"/>
      <c r="U4" s="78"/>
      <c r="V4" s="66">
        <v>1</v>
      </c>
      <c r="W4" s="66" t="s">
        <v>2</v>
      </c>
      <c r="X4" s="66"/>
      <c r="Y4" s="66">
        <v>2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13"/>
      <c r="AM4" s="13"/>
      <c r="AN4" s="13"/>
      <c r="AO4" s="13"/>
      <c r="AP4" s="13"/>
    </row>
    <row r="5" spans="1:42" ht="15" customHeight="1"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23"/>
      <c r="O5" s="8"/>
      <c r="P5" s="8"/>
      <c r="Q5" s="8"/>
      <c r="R5" s="49">
        <v>0.28299999999999997</v>
      </c>
      <c r="S5" s="78" t="s">
        <v>18</v>
      </c>
      <c r="T5" s="78"/>
      <c r="U5" s="78"/>
      <c r="V5" s="66">
        <v>2</v>
      </c>
      <c r="W5" s="66" t="s">
        <v>3</v>
      </c>
      <c r="X5" s="66"/>
      <c r="Y5" s="66">
        <v>3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13"/>
      <c r="AM5" s="13"/>
      <c r="AN5" s="13"/>
      <c r="AO5" s="13"/>
      <c r="AP5" s="13"/>
    </row>
    <row r="6" spans="1:42" ht="32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47"/>
      <c r="P6" s="47"/>
      <c r="Q6" s="47"/>
      <c r="R6" s="49">
        <v>0.34749999999999998</v>
      </c>
      <c r="S6" s="78" t="s">
        <v>19</v>
      </c>
      <c r="T6" s="78"/>
      <c r="U6" s="78"/>
      <c r="V6" s="66">
        <v>3</v>
      </c>
      <c r="W6" s="66"/>
      <c r="X6" s="66"/>
      <c r="Y6" s="66">
        <v>4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13"/>
      <c r="AM6" s="13"/>
      <c r="AN6" s="13"/>
      <c r="AO6" s="13"/>
      <c r="AP6" s="13"/>
    </row>
    <row r="7" spans="1:42" ht="18">
      <c r="B7" s="10"/>
      <c r="C7" s="1"/>
      <c r="D7" s="1"/>
      <c r="E7" s="1"/>
      <c r="F7" s="1"/>
      <c r="G7" s="2"/>
      <c r="H7" s="2"/>
      <c r="I7" s="2"/>
      <c r="J7" s="2"/>
      <c r="K7" s="2"/>
      <c r="L7" s="2"/>
      <c r="N7" s="20"/>
      <c r="O7" s="20"/>
      <c r="P7" s="20"/>
      <c r="Q7" s="20"/>
      <c r="R7" s="49">
        <v>0.34749999999999998</v>
      </c>
      <c r="S7" s="138" t="s">
        <v>20</v>
      </c>
      <c r="T7" s="66"/>
      <c r="U7" s="66"/>
      <c r="V7" s="66">
        <v>4</v>
      </c>
      <c r="W7" s="66"/>
      <c r="X7" s="66"/>
      <c r="Y7" s="66">
        <v>5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13"/>
      <c r="AM7" s="13"/>
      <c r="AN7" s="13"/>
      <c r="AO7" s="13"/>
      <c r="AP7" s="13"/>
    </row>
    <row r="8" spans="1:42" ht="20" customHeight="1">
      <c r="B8" s="55">
        <v>1</v>
      </c>
      <c r="C8" s="80" t="s">
        <v>21</v>
      </c>
      <c r="D8" s="1"/>
      <c r="E8" s="1"/>
      <c r="F8" s="1"/>
      <c r="G8" s="2"/>
      <c r="H8" s="2"/>
      <c r="I8" s="83" t="s">
        <v>33</v>
      </c>
      <c r="J8" s="83"/>
      <c r="K8" s="83"/>
      <c r="L8" s="5" t="s">
        <v>0</v>
      </c>
      <c r="M8" s="60"/>
      <c r="N8" s="68" t="s">
        <v>23</v>
      </c>
      <c r="O8" s="68"/>
      <c r="P8" s="68"/>
      <c r="Q8" s="68"/>
      <c r="R8" s="66"/>
      <c r="S8" s="138"/>
      <c r="T8" s="66"/>
      <c r="U8" s="66"/>
      <c r="V8" s="66"/>
      <c r="W8" s="66"/>
      <c r="X8" s="66"/>
      <c r="Y8" s="66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13"/>
      <c r="AM8" s="13"/>
      <c r="AN8" s="13"/>
      <c r="AO8" s="13"/>
      <c r="AP8" s="13"/>
    </row>
    <row r="9" spans="1:42" ht="20" customHeight="1">
      <c r="B9" s="42"/>
      <c r="C9" s="3"/>
      <c r="D9" s="4"/>
      <c r="E9" s="4"/>
      <c r="F9" s="4"/>
      <c r="G9" s="25"/>
      <c r="H9" s="25"/>
      <c r="I9" s="25"/>
      <c r="J9" s="25"/>
      <c r="K9" s="25"/>
      <c r="L9" s="25"/>
      <c r="M9" s="60"/>
      <c r="N9" s="158" t="s">
        <v>26</v>
      </c>
      <c r="O9" s="158"/>
      <c r="P9" s="159" t="str">
        <f>IF(C14="Não",C22*0.7+(I22+C25)*0.2,IF(AND(C14="Sim",I25&lt;C22*0.7+(I22+C25)*0.2),I25,IF(AND(C14="Sim",I25&gt;=C22*0.7+(I22+C25)*0.2),C22*0.7+(I22+C25)*0.2,IF(AND(C22="",I22="",C25=""),"",IF(AND(C14="Sim",I25=""),"")))))</f>
        <v/>
      </c>
      <c r="Q9" s="159"/>
      <c r="R9" s="66"/>
      <c r="S9" s="66"/>
      <c r="T9" s="66"/>
      <c r="U9" s="66"/>
      <c r="V9" s="66"/>
      <c r="W9" s="66"/>
      <c r="X9" s="66"/>
      <c r="Y9" s="66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13"/>
      <c r="AM9" s="13"/>
      <c r="AN9" s="13"/>
      <c r="AO9" s="13"/>
      <c r="AP9" s="13"/>
    </row>
    <row r="10" spans="1:42" ht="20" customHeight="1">
      <c r="B10" s="54"/>
      <c r="C10" s="35" t="s">
        <v>16</v>
      </c>
      <c r="D10" s="5" t="s">
        <v>0</v>
      </c>
      <c r="E10" s="24"/>
      <c r="F10" s="24"/>
      <c r="G10" s="24"/>
      <c r="H10" s="24"/>
      <c r="I10" s="24"/>
      <c r="J10" s="24"/>
      <c r="K10" s="24"/>
      <c r="L10" s="24"/>
      <c r="M10" s="60"/>
      <c r="N10" s="175" t="s">
        <v>27</v>
      </c>
      <c r="O10" s="56"/>
      <c r="P10" s="160" t="str">
        <f>IF(AND(C22="",I22="",C25=""),"",IF(AND(C14="Sim",I25=""),"",IF(C11="Prestadores de serviços",29.6%,IF(C11="Empresários em nome individual com rendimentos exclusivos de atividade comercial ou industrial",34.75%,IF(C11="Produtores agrícolas com rendimentos exclusivos da agricultura",28.3%,IF(C11="Titulares de estabelecimento individual de responsabilidade limitada (EIRL)",34.75%,IF(C11="","")))))))</f>
        <v/>
      </c>
      <c r="Q10" s="160"/>
      <c r="R10" s="15"/>
      <c r="S10" s="15"/>
      <c r="T10" s="66"/>
      <c r="U10" s="66"/>
      <c r="V10" s="66"/>
      <c r="W10" s="66"/>
      <c r="X10" s="66"/>
      <c r="Y10" s="6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13"/>
      <c r="AM10" s="13"/>
      <c r="AN10" s="13"/>
      <c r="AO10" s="13"/>
      <c r="AP10" s="13"/>
    </row>
    <row r="11" spans="1:42" ht="20" customHeight="1">
      <c r="B11" s="24"/>
      <c r="C11" s="75"/>
      <c r="D11" s="75"/>
      <c r="E11" s="75"/>
      <c r="F11" s="75"/>
      <c r="G11" s="75"/>
      <c r="H11" s="75"/>
      <c r="I11" s="75"/>
      <c r="J11" s="75"/>
      <c r="K11" s="75"/>
      <c r="L11" s="24"/>
      <c r="M11" s="60"/>
      <c r="N11" s="142" t="s">
        <v>34</v>
      </c>
      <c r="O11" s="142"/>
      <c r="P11" s="142"/>
      <c r="Q11" s="142"/>
      <c r="R11" s="76"/>
      <c r="S11" s="76"/>
      <c r="T11" s="66"/>
      <c r="U11" s="66"/>
      <c r="V11" s="66"/>
      <c r="W11" s="66"/>
      <c r="X11" s="66"/>
      <c r="Y11" s="66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13"/>
      <c r="AM11" s="13"/>
      <c r="AN11" s="13"/>
      <c r="AO11" s="13"/>
      <c r="AP11" s="13"/>
    </row>
    <row r="12" spans="1:42" ht="21" customHeight="1"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24"/>
      <c r="M12" s="60"/>
      <c r="N12" s="72" t="str">
        <f>IF(AND(C22="",I22="",C25=""),"",IF(AND(C14="Sim",I25=""),"",IF(AND(I25&gt;0,R36&lt;=4),INDEX(D36:G47,3,S36),T36)))</f>
        <v/>
      </c>
      <c r="O12" s="72"/>
      <c r="P12" s="72"/>
      <c r="Q12" s="73"/>
      <c r="R12" s="76"/>
      <c r="S12" s="76"/>
      <c r="T12" s="66"/>
      <c r="U12" s="66"/>
      <c r="V12" s="66"/>
      <c r="W12" s="66"/>
      <c r="X12" s="66"/>
      <c r="Y12" s="66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13"/>
      <c r="AM12" s="13"/>
      <c r="AN12" s="13"/>
      <c r="AO12" s="13"/>
      <c r="AP12" s="13"/>
    </row>
    <row r="13" spans="1:42" ht="20" customHeight="1">
      <c r="A13" s="34"/>
      <c r="B13" s="54"/>
      <c r="C13" s="36" t="s">
        <v>17</v>
      </c>
      <c r="D13" s="5" t="s">
        <v>0</v>
      </c>
      <c r="E13" s="26"/>
      <c r="F13" s="26"/>
      <c r="G13" s="26"/>
      <c r="H13" s="26"/>
      <c r="I13" s="26"/>
      <c r="J13" s="26"/>
      <c r="K13" s="26"/>
      <c r="L13" s="26"/>
      <c r="M13" s="60"/>
      <c r="N13" s="72"/>
      <c r="O13" s="72"/>
      <c r="P13" s="72"/>
      <c r="Q13" s="73"/>
      <c r="R13" s="81">
        <f>MAX(62.04,C22*0.7*IF(C11="Produtores agrícolas com rendimentos exclusivos da agricultura",0.283,IF(C11="Trabalhadores independentes",0.296))/12)+I22*0.2/12*0.3475+C25*0.2*0.3475/12</f>
        <v>62.04</v>
      </c>
      <c r="S13" s="77"/>
      <c r="T13" s="66"/>
      <c r="U13" s="66"/>
      <c r="V13" s="66"/>
      <c r="W13" s="66"/>
      <c r="X13" s="66"/>
      <c r="Y13" s="66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13"/>
      <c r="AM13" s="13"/>
      <c r="AN13" s="13"/>
      <c r="AO13" s="13"/>
      <c r="AP13" s="13"/>
    </row>
    <row r="14" spans="1:42" ht="20" customHeight="1">
      <c r="B14" s="9"/>
      <c r="C14" s="37"/>
      <c r="D14" s="26"/>
      <c r="E14" s="26"/>
      <c r="F14" s="26"/>
      <c r="G14" s="26"/>
      <c r="H14" s="26"/>
      <c r="I14" s="26"/>
      <c r="J14" s="26"/>
      <c r="K14" s="26"/>
      <c r="L14" s="26"/>
      <c r="M14" s="60"/>
      <c r="N14" s="143" t="str">
        <f>IF(AND(C22="",I22="",C25=""),"",IF(AND(C14="Sim",I25=""),"",IF(P9&lt;5030.64,R18,IF(P9&gt;5030.64,R17,""))))</f>
        <v/>
      </c>
      <c r="O14" s="143"/>
      <c r="P14" s="143"/>
      <c r="Q14" s="143"/>
      <c r="R14" s="16"/>
      <c r="S14" s="17"/>
      <c r="T14" s="66"/>
      <c r="U14" s="66"/>
      <c r="V14" s="66"/>
      <c r="W14" s="66"/>
      <c r="X14" s="66"/>
      <c r="Y14" s="66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13"/>
      <c r="AM14" s="13"/>
      <c r="AN14" s="13"/>
      <c r="AO14" s="13"/>
      <c r="AP14" s="13"/>
    </row>
    <row r="15" spans="1:42" ht="20" customHeight="1">
      <c r="B15" s="9"/>
      <c r="C15" s="41"/>
      <c r="D15" s="26"/>
      <c r="E15" s="26"/>
      <c r="F15" s="26"/>
      <c r="G15" s="26"/>
      <c r="H15" s="26"/>
      <c r="I15" s="26"/>
      <c r="J15" s="26"/>
      <c r="K15" s="26"/>
      <c r="L15" s="26"/>
      <c r="M15" s="60"/>
      <c r="N15" s="143"/>
      <c r="O15" s="143"/>
      <c r="P15" s="143"/>
      <c r="Q15" s="143"/>
      <c r="R15" s="18"/>
      <c r="S15" s="18"/>
      <c r="T15" s="66"/>
      <c r="U15" s="66"/>
      <c r="V15" s="66"/>
      <c r="W15" s="66"/>
      <c r="X15" s="66"/>
      <c r="Y15" s="66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13"/>
      <c r="AM15" s="13"/>
      <c r="AN15" s="13"/>
      <c r="AO15" s="13"/>
      <c r="AP15" s="13"/>
    </row>
    <row r="16" spans="1:42" ht="20" customHeight="1">
      <c r="B16" s="28"/>
      <c r="C16" s="45"/>
      <c r="D16" s="165"/>
      <c r="E16" s="165"/>
      <c r="F16" s="165"/>
      <c r="G16" s="165"/>
      <c r="H16" s="165"/>
      <c r="I16" s="165"/>
      <c r="J16" s="165"/>
      <c r="K16" s="165"/>
      <c r="L16" s="165"/>
      <c r="M16" s="60"/>
      <c r="N16" s="143"/>
      <c r="O16" s="143"/>
      <c r="P16" s="143"/>
      <c r="Q16" s="143"/>
      <c r="R16" s="17"/>
      <c r="S16" s="17" t="s">
        <v>31</v>
      </c>
      <c r="T16" s="66"/>
      <c r="U16" s="66"/>
      <c r="V16" s="74" t="s">
        <v>14</v>
      </c>
      <c r="W16" s="74"/>
      <c r="X16" s="74"/>
      <c r="Y16" s="74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13"/>
      <c r="AM16" s="13"/>
      <c r="AN16" s="13"/>
      <c r="AO16" s="13"/>
      <c r="AP16" s="13"/>
    </row>
    <row r="17" spans="1:42" ht="20" customHeight="1">
      <c r="A17" s="34"/>
      <c r="B17" s="28"/>
      <c r="C17" s="29"/>
      <c r="D17" s="29"/>
      <c r="E17" s="30"/>
      <c r="F17" s="30"/>
      <c r="G17" s="31"/>
      <c r="H17" s="27"/>
      <c r="I17" s="27"/>
      <c r="J17" s="27"/>
      <c r="K17" s="27"/>
      <c r="L17" s="27"/>
      <c r="M17" s="60"/>
      <c r="N17" s="142" t="s">
        <v>63</v>
      </c>
      <c r="O17" s="142"/>
      <c r="P17" s="142"/>
      <c r="Q17" s="142"/>
      <c r="R17" s="18" t="s">
        <v>61</v>
      </c>
      <c r="S17" s="18" t="e">
        <f>P9/12</f>
        <v>#VALUE!</v>
      </c>
      <c r="T17" s="50" t="e">
        <f>S17/419.22</f>
        <v>#VALUE!</v>
      </c>
      <c r="U17" s="66"/>
      <c r="V17" s="66"/>
      <c r="W17" s="66"/>
      <c r="X17" s="66"/>
      <c r="Y17" s="66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13"/>
      <c r="AM17" s="13"/>
      <c r="AN17" s="13"/>
      <c r="AO17" s="13"/>
      <c r="AP17" s="13"/>
    </row>
    <row r="18" spans="1:42" ht="21" customHeight="1">
      <c r="B18" s="55">
        <v>2</v>
      </c>
      <c r="C18" s="33" t="s">
        <v>24</v>
      </c>
      <c r="D18" s="29"/>
      <c r="E18" s="30"/>
      <c r="F18" s="30"/>
      <c r="G18" s="31"/>
      <c r="H18" s="27"/>
      <c r="I18" s="32"/>
      <c r="J18" s="32"/>
      <c r="K18" s="32"/>
      <c r="L18" s="27"/>
      <c r="M18" s="61"/>
      <c r="N18" s="176"/>
      <c r="O18" s="176"/>
      <c r="P18" s="176"/>
      <c r="Q18" s="176"/>
      <c r="R18" s="66" t="s">
        <v>62</v>
      </c>
      <c r="S18" s="66"/>
      <c r="T18" s="66"/>
      <c r="U18" s="66"/>
      <c r="V18" s="66"/>
      <c r="W18" s="66"/>
      <c r="X18" s="66"/>
      <c r="Y18" s="66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13"/>
      <c r="AM18" s="13"/>
      <c r="AN18" s="13"/>
      <c r="AO18" s="13"/>
      <c r="AP18" s="13"/>
    </row>
    <row r="19" spans="1:42" ht="20" customHeight="1">
      <c r="B19" s="42"/>
      <c r="C19" s="41"/>
      <c r="D19" s="41"/>
      <c r="E19" s="41"/>
      <c r="F19" s="41"/>
      <c r="G19" s="41"/>
      <c r="H19" s="41"/>
      <c r="I19" s="41"/>
      <c r="J19" s="41"/>
      <c r="K19" s="41"/>
      <c r="L19" s="172"/>
      <c r="M19" s="61"/>
      <c r="N19" s="144" t="str">
        <f>IF(AND(C22="",I22="",C25=""),"",IF(AND(C14="Sim",I25=""),"",IF(P9&lt;5030.64,A35,IF(R36=2,"-",IF(R36=3,"-",IF(AND(I25&gt;0,R36&lt;=4),"-",INDEX(A35:G46,R33,1)))))))</f>
        <v/>
      </c>
      <c r="O19" s="153"/>
      <c r="P19" s="146" t="str">
        <f>IF(AND(C22="",I22="",C25=""),"",IF(AND(C14="Sim",I25=""),"",IF(P9&lt;5030.64,T36,IF(R36=2,"-",IF(R36=3,"-",IF(AND(I25&gt;0,R36&lt;=4),"-",T33))))))</f>
        <v/>
      </c>
      <c r="Q19" s="145"/>
      <c r="R19" s="18"/>
      <c r="S19" s="18"/>
      <c r="T19" s="66"/>
      <c r="U19" s="66"/>
      <c r="V19" s="66"/>
      <c r="W19" s="66"/>
      <c r="X19" s="66"/>
      <c r="Y19" s="66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13"/>
      <c r="AM19" s="13"/>
      <c r="AN19" s="13"/>
      <c r="AO19" s="13"/>
      <c r="AP19" s="13"/>
    </row>
    <row r="20" spans="1:42" ht="20" customHeight="1">
      <c r="B20" s="54"/>
      <c r="C20" s="70" t="s">
        <v>70</v>
      </c>
      <c r="D20" s="70"/>
      <c r="E20" s="70"/>
      <c r="F20" s="5" t="s">
        <v>0</v>
      </c>
      <c r="G20" s="11"/>
      <c r="H20" s="11"/>
      <c r="I20" s="11"/>
      <c r="J20" s="11"/>
      <c r="K20" s="11"/>
      <c r="L20" s="173"/>
      <c r="M20" s="61"/>
      <c r="N20" s="144" t="str">
        <f>IF(AND(C22="",I22="",C25=""),"",IF(AND(C14="Sim",I25=""),"",IF(P9&lt;5030.64,A36,IF(R36=2,"-",IF(AND(R36=3,N21="Escalão 2"),"-",IF(R36=3,A36,INDEX(A35:G46,R34,1)))))))</f>
        <v/>
      </c>
      <c r="O20" s="154"/>
      <c r="P20" s="146" t="str">
        <f>IF(AND(C22="",I22="",C25=""),"",IF(AND(C14="Sim",I25=""),"",IF(P9&lt;5030.64,T37,IF(R36=2,"-",IF(AND(R36=3,N21="Escalão 2"),"-",IF(R36=3,T34,T34))))))</f>
        <v/>
      </c>
      <c r="Q20" s="147"/>
      <c r="R20" s="66"/>
      <c r="S20" s="66"/>
      <c r="T20" s="66"/>
      <c r="U20" s="66"/>
      <c r="V20" s="66"/>
      <c r="W20" s="66"/>
      <c r="X20" s="66"/>
      <c r="Y20" s="66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13"/>
      <c r="AM20" s="13"/>
      <c r="AN20" s="13"/>
      <c r="AO20" s="13"/>
      <c r="AP20" s="13"/>
    </row>
    <row r="21" spans="1:42" ht="20" customHeight="1">
      <c r="B21" s="38"/>
      <c r="C21" s="168" t="s">
        <v>25</v>
      </c>
      <c r="D21" s="36"/>
      <c r="E21" s="71" t="s">
        <v>22</v>
      </c>
      <c r="F21" s="71"/>
      <c r="G21" s="71"/>
      <c r="H21" s="71"/>
      <c r="I21" s="71"/>
      <c r="J21" s="71"/>
      <c r="K21" s="71"/>
      <c r="L21" s="174"/>
      <c r="M21" s="61"/>
      <c r="N21" s="148" t="str">
        <f>IF(AND(C22="",I22="",C25=""),"",IF(AND(C14="Sim",I25=""),"",IF(P9&lt;5030.64,"-",INDEX(A35:G46,R36,1))))</f>
        <v/>
      </c>
      <c r="O21" s="155"/>
      <c r="P21" s="150" t="str">
        <f>IF(AND(C22="",I22="",C25=""),"",IF(AND(C14="Sim",I25=""),"",IF(P9&lt;5030.64,"-",T36)))</f>
        <v/>
      </c>
      <c r="Q21" s="149"/>
      <c r="R21" s="66"/>
      <c r="S21" s="66"/>
      <c r="T21" s="66"/>
      <c r="U21" s="66"/>
      <c r="V21" s="66"/>
      <c r="W21" s="66"/>
      <c r="X21" s="66"/>
      <c r="Y21" s="6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13"/>
      <c r="AM21" s="13"/>
      <c r="AN21" s="13"/>
      <c r="AO21" s="13"/>
      <c r="AP21" s="13"/>
    </row>
    <row r="22" spans="1:42" ht="20" customHeight="1">
      <c r="B22" s="11"/>
      <c r="C22" s="57"/>
      <c r="D22" s="44"/>
      <c r="E22" s="38"/>
      <c r="F22" s="38"/>
      <c r="G22" s="38"/>
      <c r="H22" s="38"/>
      <c r="I22" s="57"/>
      <c r="J22" s="6"/>
      <c r="K22" s="6"/>
      <c r="L22" s="166"/>
      <c r="M22" s="62"/>
      <c r="N22" s="151" t="str">
        <f>IF(AND(C22="",I22="",C25=""),"",IF(AND(C14="Sim",I25=""),"",IF(P9&lt;5030.64,"-",INDEX(A35:G46,R37,1))))</f>
        <v/>
      </c>
      <c r="O22" s="155"/>
      <c r="P22" s="152" t="str">
        <f>IF(AND(C22="",I22="",C25=""),"",IF(AND(C14="Sim",I25=""),"",IF(P9&lt;5030.64,"-",T37)))</f>
        <v/>
      </c>
      <c r="Q22" s="149"/>
      <c r="R22" s="66"/>
      <c r="S22" s="66"/>
      <c r="T22" s="66"/>
      <c r="U22" s="66"/>
      <c r="V22" s="66"/>
      <c r="W22" s="66"/>
      <c r="X22" s="66"/>
      <c r="Y22" s="6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13"/>
      <c r="AM22" s="13"/>
      <c r="AN22" s="13"/>
      <c r="AO22" s="13"/>
      <c r="AP22" s="13"/>
    </row>
    <row r="23" spans="1:42" ht="20" customHeight="1">
      <c r="A23" s="34"/>
      <c r="B23" s="11"/>
      <c r="C23" s="44"/>
      <c r="D23" s="44"/>
      <c r="E23" s="43"/>
      <c r="F23" s="43"/>
      <c r="G23" s="43"/>
      <c r="H23" s="43"/>
      <c r="I23" s="6"/>
      <c r="J23" s="169"/>
      <c r="K23" s="169"/>
      <c r="L23" s="166"/>
      <c r="M23" s="61"/>
      <c r="N23" s="151" t="str">
        <f>IF(AND(C22="",I22="",C25=""),"",IF(AND(C14="Sim",I25=""),"",IF(P9&lt;5030.64,"-",INDEX(A35:G46,R38,1))))</f>
        <v/>
      </c>
      <c r="O23" s="155"/>
      <c r="P23" s="152" t="str">
        <f>IF(AND(C22="",I22="",C25=""),"",IF(AND(C14="Sim",I25=""),"",IF(P9&lt;5030.64,"-",T38)))</f>
        <v/>
      </c>
      <c r="Q23" s="149"/>
      <c r="R23" s="51"/>
      <c r="S23" s="66"/>
      <c r="T23" s="66"/>
      <c r="U23" s="66"/>
      <c r="V23" s="66" t="s">
        <v>8</v>
      </c>
      <c r="W23" s="66" t="s">
        <v>8</v>
      </c>
      <c r="X23" s="66"/>
      <c r="Y23" s="66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13"/>
      <c r="AM23" s="13"/>
      <c r="AN23" s="13"/>
      <c r="AO23" s="13"/>
      <c r="AP23" s="13"/>
    </row>
    <row r="24" spans="1:42" ht="20" customHeight="1">
      <c r="B24" s="54"/>
      <c r="C24" s="11" t="s">
        <v>38</v>
      </c>
      <c r="D24" s="5" t="s">
        <v>0</v>
      </c>
      <c r="E24" s="169"/>
      <c r="F24" s="12"/>
      <c r="G24" s="7"/>
      <c r="H24" s="170"/>
      <c r="I24" s="11" t="str">
        <f>IF(C14="Sim","Lucro tributável?","")</f>
        <v/>
      </c>
      <c r="J24" s="39" t="s">
        <v>0</v>
      </c>
      <c r="K24" s="6"/>
      <c r="L24" s="166"/>
      <c r="M24" s="61"/>
      <c r="N24" s="164"/>
      <c r="O24" s="156"/>
      <c r="P24" s="157"/>
      <c r="Q24" s="156"/>
      <c r="R24" s="51"/>
      <c r="S24" s="66"/>
      <c r="T24" s="66"/>
      <c r="U24" s="66"/>
      <c r="V24" s="66" t="s">
        <v>11</v>
      </c>
      <c r="W24" s="66" t="s">
        <v>4</v>
      </c>
      <c r="X24" s="66"/>
      <c r="Y24" s="66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13"/>
      <c r="AM24" s="13"/>
      <c r="AN24" s="13"/>
      <c r="AO24" s="13"/>
      <c r="AP24" s="13"/>
    </row>
    <row r="25" spans="1:42" ht="20" customHeight="1">
      <c r="B25" s="41"/>
      <c r="C25" s="58"/>
      <c r="D25" s="40"/>
      <c r="E25" s="40"/>
      <c r="F25" s="40"/>
      <c r="G25" s="171"/>
      <c r="H25" s="171"/>
      <c r="I25" s="59"/>
      <c r="J25" s="171"/>
      <c r="K25" s="171"/>
      <c r="L25" s="167"/>
      <c r="M25" s="63"/>
      <c r="N25" s="143" t="str">
        <f>IF(AND(C22="",I22="",C25=""),"",IF(AND(C14="Sim",I25=""),"",IF(P9&lt;2515.32,N39,N33)))</f>
        <v/>
      </c>
      <c r="O25" s="143"/>
      <c r="P25" s="143"/>
      <c r="Q25" s="143"/>
      <c r="R25" s="52"/>
      <c r="S25" s="66"/>
      <c r="T25" s="66"/>
      <c r="U25" s="66"/>
      <c r="V25" s="66" t="s">
        <v>12</v>
      </c>
      <c r="W25" s="66" t="s">
        <v>5</v>
      </c>
      <c r="X25" s="66"/>
      <c r="Y25" s="66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3"/>
      <c r="AM25" s="13"/>
      <c r="AN25" s="13"/>
      <c r="AO25" s="13"/>
      <c r="AP25" s="13"/>
    </row>
    <row r="26" spans="1:42" ht="25" customHeight="1">
      <c r="B26" s="41"/>
      <c r="C26" s="169"/>
      <c r="D26" s="169"/>
      <c r="E26" s="169"/>
      <c r="F26" s="169"/>
      <c r="G26" s="171"/>
      <c r="H26" s="171"/>
      <c r="I26" s="169"/>
      <c r="J26" s="171"/>
      <c r="K26" s="171"/>
      <c r="L26" s="167"/>
      <c r="M26" s="63"/>
      <c r="N26" s="143"/>
      <c r="O26" s="143"/>
      <c r="P26" s="143"/>
      <c r="Q26" s="143"/>
      <c r="R26" s="51"/>
      <c r="S26" s="66"/>
      <c r="T26" s="66"/>
      <c r="U26" s="66"/>
      <c r="V26" s="66"/>
      <c r="W26" s="66" t="s">
        <v>6</v>
      </c>
      <c r="X26" s="66"/>
      <c r="Y26" s="6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13"/>
      <c r="AM26" s="13"/>
      <c r="AN26" s="13"/>
      <c r="AO26" s="13"/>
      <c r="AP26" s="13"/>
    </row>
    <row r="27" spans="1:42" ht="22" customHeight="1">
      <c r="M27" s="63"/>
      <c r="N27" s="177"/>
      <c r="O27" s="177"/>
      <c r="P27" s="177"/>
      <c r="Q27" s="177"/>
      <c r="R27" s="66"/>
      <c r="S27" s="66"/>
      <c r="T27" s="66"/>
      <c r="U27" s="66"/>
      <c r="V27" s="66"/>
      <c r="W27" s="66" t="s">
        <v>7</v>
      </c>
      <c r="X27" s="66"/>
      <c r="Y27" s="66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13"/>
      <c r="AM27" s="13"/>
      <c r="AN27" s="13"/>
      <c r="AO27" s="13"/>
      <c r="AP27" s="13"/>
    </row>
    <row r="28" spans="1:42" ht="23" customHeight="1">
      <c r="B28" s="69" t="s">
        <v>35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3"/>
      <c r="N28" s="63"/>
      <c r="O28" s="162"/>
      <c r="P28" s="162"/>
      <c r="Q28" s="162"/>
      <c r="R28" s="66"/>
      <c r="S28" s="66"/>
      <c r="T28" s="66"/>
      <c r="U28" s="66"/>
      <c r="V28" s="66"/>
      <c r="W28" s="66"/>
      <c r="X28" s="66"/>
      <c r="Y28" s="6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13"/>
      <c r="AM28" s="13"/>
      <c r="AN28" s="13"/>
      <c r="AO28" s="13"/>
      <c r="AP28" s="13"/>
    </row>
    <row r="29" spans="1:42" ht="21" customHeight="1">
      <c r="A29" s="3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0"/>
      <c r="N29" s="161"/>
      <c r="O29" s="161"/>
      <c r="P29" s="161"/>
      <c r="Q29" s="163"/>
      <c r="R29" s="66"/>
      <c r="S29" s="66"/>
      <c r="T29" s="66"/>
      <c r="U29" s="66"/>
      <c r="V29" s="66"/>
      <c r="W29" s="66"/>
      <c r="X29" s="66"/>
      <c r="Y29" s="66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13"/>
      <c r="AM29" s="13"/>
      <c r="AN29" s="13"/>
      <c r="AO29" s="13"/>
      <c r="AP29" s="13"/>
    </row>
    <row r="30" spans="1:42" ht="20" customHeight="1">
      <c r="A30" s="64"/>
      <c r="B30" s="208"/>
      <c r="C30" s="209"/>
      <c r="D30" s="52"/>
      <c r="E30" s="52"/>
      <c r="F30" s="102"/>
      <c r="G30" s="52"/>
      <c r="H30" s="52"/>
      <c r="I30" s="52"/>
      <c r="J30" s="52"/>
      <c r="K30" s="52"/>
      <c r="L30" s="52"/>
      <c r="M30" s="64"/>
      <c r="N30" s="185" t="str">
        <f>IF(OR(C11="",C14=""),"",INDEX(D37:G47,R36,1))</f>
        <v/>
      </c>
      <c r="O30" s="64"/>
      <c r="P30" s="186" t="s">
        <v>32</v>
      </c>
      <c r="Q30" s="187" t="str">
        <f>IF(OR(C11="",C14=""),"",INDEX(A35:G46,R36,1))</f>
        <v/>
      </c>
      <c r="R30" s="66"/>
      <c r="S30" s="66"/>
      <c r="T30" s="66"/>
      <c r="U30" s="66"/>
      <c r="V30" s="66"/>
      <c r="W30" s="66" t="s">
        <v>8</v>
      </c>
      <c r="X30" s="66"/>
      <c r="Y30" s="6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13"/>
      <c r="AM30" s="13"/>
      <c r="AN30" s="13"/>
      <c r="AO30" s="13"/>
      <c r="AP30" s="13"/>
    </row>
    <row r="31" spans="1:42" ht="24" customHeight="1">
      <c r="A31" s="64"/>
      <c r="B31" s="52"/>
      <c r="C31" s="118"/>
      <c r="D31" s="52"/>
      <c r="E31" s="210"/>
      <c r="F31" s="210"/>
      <c r="G31" s="210"/>
      <c r="H31" s="210"/>
      <c r="I31" s="211"/>
      <c r="J31" s="52"/>
      <c r="K31" s="52"/>
      <c r="L31" s="52"/>
      <c r="M31" s="64"/>
      <c r="N31" s="64"/>
      <c r="O31" s="188"/>
      <c r="P31" s="189"/>
      <c r="Q31" s="186"/>
      <c r="R31" s="66"/>
      <c r="S31" s="66"/>
      <c r="T31" s="66"/>
      <c r="U31" s="66"/>
      <c r="V31" s="66"/>
      <c r="W31" s="66" t="s">
        <v>4</v>
      </c>
      <c r="X31" s="66"/>
      <c r="Y31" s="66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13"/>
      <c r="AM31" s="13"/>
      <c r="AN31" s="13"/>
      <c r="AO31" s="13"/>
      <c r="AP31" s="13"/>
    </row>
    <row r="32" spans="1:42" ht="20" customHeight="1">
      <c r="A32" s="6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4"/>
      <c r="N32" s="178" t="s">
        <v>39</v>
      </c>
      <c r="O32" s="178"/>
      <c r="P32" s="178"/>
      <c r="Q32" s="178"/>
      <c r="R32" s="66"/>
      <c r="S32" s="66"/>
      <c r="T32" s="66"/>
      <c r="U32" s="66"/>
      <c r="V32" s="66"/>
      <c r="W32" s="66" t="s">
        <v>5</v>
      </c>
      <c r="X32" s="66"/>
      <c r="Y32" s="6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13"/>
      <c r="AM32" s="13"/>
      <c r="AN32" s="13"/>
      <c r="AO32" s="13"/>
      <c r="AP32" s="13"/>
    </row>
    <row r="33" spans="1:42" ht="20" customHeight="1">
      <c r="A33" s="212"/>
      <c r="B33" s="64"/>
      <c r="C33" s="179"/>
      <c r="D33" s="213"/>
      <c r="E33" s="179"/>
      <c r="F33" s="179"/>
      <c r="G33" s="179"/>
      <c r="H33" s="179"/>
      <c r="I33" s="179"/>
      <c r="J33" s="179"/>
      <c r="K33" s="179"/>
      <c r="L33" s="179"/>
      <c r="M33" s="179"/>
      <c r="N33" s="180" t="s">
        <v>65</v>
      </c>
      <c r="O33" s="180"/>
      <c r="P33" s="180"/>
      <c r="Q33" s="180"/>
      <c r="R33" s="64" t="e">
        <f>R36-2</f>
        <v>#VALUE!</v>
      </c>
      <c r="S33" s="64" t="b">
        <f>S34</f>
        <v>0</v>
      </c>
      <c r="T33" s="64" t="e">
        <f>INDEX(D36:G47,R33,S33)</f>
        <v>#VALUE!</v>
      </c>
      <c r="U33" s="66"/>
      <c r="V33" s="21"/>
      <c r="W33" s="66" t="s">
        <v>9</v>
      </c>
      <c r="X33" s="66"/>
      <c r="Y33" s="66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13"/>
      <c r="AM33" s="13"/>
      <c r="AN33" s="13"/>
      <c r="AO33" s="13"/>
      <c r="AP33" s="13"/>
    </row>
    <row r="34" spans="1:42" ht="20" customHeight="1">
      <c r="A34" s="212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79"/>
      <c r="N34" s="180"/>
      <c r="O34" s="180"/>
      <c r="P34" s="180"/>
      <c r="Q34" s="180"/>
      <c r="R34" s="64" t="e">
        <f>R36-1</f>
        <v>#VALUE!</v>
      </c>
      <c r="S34" s="64" t="b">
        <f>S36</f>
        <v>0</v>
      </c>
      <c r="T34" s="194" t="e">
        <f>INDEX(D36:G47,R34,S34)</f>
        <v>#VALUE!</v>
      </c>
      <c r="U34" s="66"/>
      <c r="V34" s="21"/>
      <c r="W34" s="66" t="s">
        <v>10</v>
      </c>
      <c r="X34" s="66"/>
      <c r="Y34" s="6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13"/>
      <c r="AM34" s="13"/>
      <c r="AN34" s="13"/>
      <c r="AO34" s="13"/>
      <c r="AP34" s="13"/>
    </row>
    <row r="35" spans="1:42" ht="20" customHeight="1">
      <c r="A35" s="64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39"/>
      <c r="N35" s="181" t="s">
        <v>66</v>
      </c>
      <c r="O35" s="181"/>
      <c r="P35" s="181"/>
      <c r="Q35" s="181"/>
      <c r="R35" s="64" t="s">
        <v>28</v>
      </c>
      <c r="S35" s="64" t="s">
        <v>29</v>
      </c>
      <c r="T35" s="64" t="s">
        <v>30</v>
      </c>
      <c r="U35" s="66"/>
      <c r="V35" s="21"/>
      <c r="W35" s="66"/>
      <c r="X35" s="66"/>
      <c r="Y35" s="66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13"/>
      <c r="AM35" s="13"/>
      <c r="AN35" s="13"/>
      <c r="AO35" s="13"/>
      <c r="AP35" s="13"/>
    </row>
    <row r="36" spans="1:42">
      <c r="A36" s="64" t="s">
        <v>48</v>
      </c>
      <c r="B36" s="64">
        <v>1</v>
      </c>
      <c r="C36" s="214" t="e">
        <f>IF(D36-$S$17&lt;0,"",D36-$S$17)</f>
        <v>#VALUE!</v>
      </c>
      <c r="D36" s="194">
        <f>419.22/2</f>
        <v>209.61</v>
      </c>
      <c r="E36" s="64">
        <f>MAX(D36*0.296,62.04)</f>
        <v>62.044560000000004</v>
      </c>
      <c r="F36" s="64">
        <f>MAX(D36*0.283,59.32)</f>
        <v>59.32</v>
      </c>
      <c r="G36" s="64">
        <f>MAX(D36*0.3475,72.84)</f>
        <v>72.84</v>
      </c>
      <c r="H36" s="64"/>
      <c r="I36" s="64"/>
      <c r="J36" s="64"/>
      <c r="K36" s="64"/>
      <c r="L36" s="64"/>
      <c r="M36" s="64"/>
      <c r="N36" s="181"/>
      <c r="O36" s="181"/>
      <c r="P36" s="181"/>
      <c r="Q36" s="181"/>
      <c r="R36" s="64" t="e">
        <f>IF(P9&lt;5030.64,1,IF(SUM(C37:C47)=0,B47,IF(LOOKUP(MIN(C37:C47),C37:C47,B37:B47)&gt;1,LOOKUP(MIN(C37:C47),C37:C47,B37:B47)-1,IF(LOOKUP(MIN(C37:C47),C37:C47,B37:B47)&lt;=1,LOOKUP(MIN(C37:C47),C37:C47,B37:B47)))))</f>
        <v>#VALUE!</v>
      </c>
      <c r="S36" s="64" t="b">
        <f>IF(C11="Prestadores de serviços",2,IF(C11="Empresários em nome individual com rendimentos exclusivos de atividade comercial ou industrial",4,IF(C11="Produtores agrícolas com rendimentos exclusivos da agricultura",3,IF(C11="Titulares de estabelecimento individual de responsabilidade limitada (EIRL)",4))))</f>
        <v>0</v>
      </c>
      <c r="T36" s="64" t="e">
        <f>INDEX(D36:G47,R36,S36)</f>
        <v>#VALUE!</v>
      </c>
      <c r="U36" s="66"/>
      <c r="V36" s="21"/>
      <c r="W36" s="66"/>
      <c r="X36" s="66"/>
      <c r="Y36" s="6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13"/>
      <c r="AM36" s="13"/>
      <c r="AN36" s="13"/>
      <c r="AO36" s="13"/>
      <c r="AP36" s="13"/>
    </row>
    <row r="37" spans="1:42">
      <c r="A37" s="64" t="s">
        <v>49</v>
      </c>
      <c r="B37" s="215">
        <v>2</v>
      </c>
      <c r="C37" s="214" t="e">
        <f>IF(D37-$S$17&lt;0,"",D37-$S$17)</f>
        <v>#VALUE!</v>
      </c>
      <c r="D37" s="216">
        <v>419.22</v>
      </c>
      <c r="E37" s="216">
        <v>124.09</v>
      </c>
      <c r="F37" s="216">
        <v>118.64</v>
      </c>
      <c r="G37" s="216">
        <v>145.68</v>
      </c>
      <c r="H37" s="64"/>
      <c r="I37" s="64"/>
      <c r="J37" s="64"/>
      <c r="K37" s="64" t="b">
        <f>IF(C11="Prestadores de serviços","tind",IF(C11="Empresários em nome individual com rendimentos exclusivos de atividade comercial ou industrial","eirl",IF(C11="Produtores agrícolas com rendimentos exclusivos da agricultura","agric",IF(C11="Titulares de estabelecimento individual de responsabilidade limitada (EIRL)","eirl"))))</f>
        <v>0</v>
      </c>
      <c r="L37" s="64"/>
      <c r="M37" s="64"/>
      <c r="N37" s="182"/>
      <c r="O37" s="182"/>
      <c r="P37" s="182"/>
      <c r="Q37" s="182"/>
      <c r="R37" s="64" t="e">
        <f>R36+1</f>
        <v>#VALUE!</v>
      </c>
      <c r="S37" s="64"/>
      <c r="T37" s="64" t="e">
        <f>INDEX(D36:G47,R37,S36)</f>
        <v>#VALUE!</v>
      </c>
      <c r="U37" s="66"/>
      <c r="V37" s="21"/>
      <c r="W37" s="19" t="s">
        <v>13</v>
      </c>
      <c r="X37" s="66">
        <v>1</v>
      </c>
      <c r="Y37" s="66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13"/>
      <c r="AM37" s="13"/>
      <c r="AN37" s="13"/>
      <c r="AO37" s="13"/>
      <c r="AP37" s="13"/>
    </row>
    <row r="38" spans="1:42">
      <c r="A38" s="64" t="s">
        <v>50</v>
      </c>
      <c r="B38" s="215">
        <v>3</v>
      </c>
      <c r="C38" s="214" t="e">
        <f>IF(D38-$S$17&lt;0,"",D38-$S$17)</f>
        <v>#VALUE!</v>
      </c>
      <c r="D38" s="216">
        <v>628.83000000000004</v>
      </c>
      <c r="E38" s="216">
        <v>186.13</v>
      </c>
      <c r="F38" s="216">
        <v>177.96</v>
      </c>
      <c r="G38" s="216">
        <v>218.52</v>
      </c>
      <c r="H38" s="64"/>
      <c r="I38" s="64"/>
      <c r="J38" s="64"/>
      <c r="K38" s="64"/>
      <c r="L38" s="64"/>
      <c r="M38" s="64"/>
      <c r="N38" s="182"/>
      <c r="O38" s="182"/>
      <c r="P38" s="182"/>
      <c r="Q38" s="182"/>
      <c r="R38" s="138" t="e">
        <f>R36+2</f>
        <v>#VALUE!</v>
      </c>
      <c r="S38" s="138"/>
      <c r="T38" s="138" t="e">
        <f>INDEX(D36:G47,R38,S36)</f>
        <v>#VALUE!</v>
      </c>
      <c r="U38" s="66"/>
      <c r="V38" s="21"/>
      <c r="W38" s="66"/>
      <c r="X38" s="66"/>
      <c r="Y38" s="66"/>
      <c r="Z38" s="21"/>
      <c r="AA38" s="21"/>
      <c r="AB38" s="66"/>
      <c r="AC38" s="66"/>
      <c r="AD38" s="13"/>
      <c r="AE38" s="13"/>
      <c r="AF38" s="13"/>
    </row>
    <row r="39" spans="1:42" ht="70">
      <c r="A39" s="64" t="s">
        <v>51</v>
      </c>
      <c r="B39" s="215">
        <v>4</v>
      </c>
      <c r="C39" s="214" t="e">
        <f>IF(D39-$S$17&lt;0,"",D39-$S$17)</f>
        <v>#VALUE!</v>
      </c>
      <c r="D39" s="216">
        <v>838.44</v>
      </c>
      <c r="E39" s="216">
        <v>248.18</v>
      </c>
      <c r="F39" s="216">
        <v>237.28</v>
      </c>
      <c r="G39" s="216">
        <v>291.36</v>
      </c>
      <c r="H39" s="64"/>
      <c r="I39" s="64"/>
      <c r="J39" s="64"/>
      <c r="K39" s="64"/>
      <c r="L39" s="64"/>
      <c r="M39" s="64"/>
      <c r="N39" s="182" t="s">
        <v>69</v>
      </c>
      <c r="O39" s="182"/>
      <c r="P39" s="182"/>
      <c r="Q39" s="182"/>
      <c r="R39" s="64" t="b">
        <f>IF(C11="Prestadores de serviços",LOOKUP(I31,tind,B37:B47),IF(C11="Empresários em nome individual com rendimentos exclusivos de atividade comercial ou industrial",LOOKUP(I31,eirl,B37:B47),IF(C11="Produtores agrícolas com rendimentos exclusivos da agricultura",LOOKUP(I31,agric,B37:B47),IF(C11="Titulares de estabelecimento individual de responsabilidade limitada (EIRL)",LOOKUP(I31,eirl,B37:B47)))))</f>
        <v>0</v>
      </c>
      <c r="S39" s="64"/>
      <c r="T39" s="64" t="e">
        <f>INDEX(D37:G47,R39+1,S36)</f>
        <v>#VALUE!</v>
      </c>
      <c r="U39" s="66"/>
      <c r="V39" s="21"/>
      <c r="W39" s="66"/>
      <c r="X39" s="66"/>
      <c r="Y39" s="66"/>
      <c r="Z39" s="21"/>
      <c r="AA39" s="21"/>
      <c r="AB39" s="66"/>
      <c r="AC39" s="66"/>
      <c r="AD39" s="13"/>
      <c r="AE39" s="13"/>
      <c r="AF39" s="13"/>
    </row>
    <row r="40" spans="1:42">
      <c r="A40" s="64" t="s">
        <v>52</v>
      </c>
      <c r="B40" s="215">
        <v>5</v>
      </c>
      <c r="C40" s="214" t="e">
        <f t="shared" ref="C40" si="0">IF(D40-$S$17&lt;0,"",D40-$S$17)</f>
        <v>#VALUE!</v>
      </c>
      <c r="D40" s="216">
        <v>1048.05</v>
      </c>
      <c r="E40" s="216">
        <v>310.22000000000003</v>
      </c>
      <c r="F40" s="216">
        <v>296.60000000000002</v>
      </c>
      <c r="G40" s="216">
        <v>364.2</v>
      </c>
      <c r="H40" s="64"/>
      <c r="I40" s="64"/>
      <c r="J40" s="64"/>
      <c r="K40" s="64"/>
      <c r="L40" s="64"/>
      <c r="M40" s="64"/>
      <c r="N40" s="183"/>
      <c r="O40" s="183"/>
      <c r="P40" s="183"/>
      <c r="Q40" s="183"/>
      <c r="R40" s="64"/>
      <c r="S40" s="64"/>
      <c r="T40" s="64"/>
      <c r="U40" s="66"/>
      <c r="V40" s="21"/>
      <c r="W40" s="66"/>
      <c r="X40" s="66"/>
      <c r="Y40" s="66"/>
      <c r="Z40" s="21"/>
      <c r="AA40" s="21"/>
      <c r="AB40" s="66"/>
      <c r="AC40" s="66"/>
      <c r="AD40" s="13"/>
      <c r="AE40" s="13"/>
      <c r="AF40" s="13"/>
    </row>
    <row r="41" spans="1:42">
      <c r="A41" s="64" t="s">
        <v>53</v>
      </c>
      <c r="B41" s="215">
        <v>6</v>
      </c>
      <c r="C41" s="214" t="e">
        <f t="shared" ref="C41" si="1">IF(D41-$S$17&lt;0,"",D41-$S$17)</f>
        <v>#VALUE!</v>
      </c>
      <c r="D41" s="216">
        <v>1257.6600000000001</v>
      </c>
      <c r="E41" s="216">
        <v>372.27</v>
      </c>
      <c r="F41" s="216">
        <v>355.92</v>
      </c>
      <c r="G41" s="216">
        <v>437.04</v>
      </c>
      <c r="H41" s="64"/>
      <c r="I41" s="64"/>
      <c r="J41" s="64"/>
      <c r="K41" s="64"/>
      <c r="L41" s="64"/>
      <c r="M41" s="64"/>
      <c r="N41" s="65"/>
      <c r="O41" s="65"/>
      <c r="P41" s="65"/>
      <c r="Q41" s="65"/>
      <c r="R41" s="64"/>
      <c r="S41" s="64"/>
      <c r="T41" s="64"/>
      <c r="U41" s="66"/>
      <c r="V41" s="21"/>
      <c r="W41" s="66"/>
      <c r="X41" s="66"/>
      <c r="Y41" s="66"/>
      <c r="Z41" s="21"/>
      <c r="AA41" s="21"/>
      <c r="AB41" s="66"/>
      <c r="AC41" s="66"/>
      <c r="AD41" s="13"/>
      <c r="AE41" s="13"/>
      <c r="AF41" s="13"/>
    </row>
    <row r="42" spans="1:42">
      <c r="A42" s="64" t="s">
        <v>54</v>
      </c>
      <c r="B42" s="215">
        <v>7</v>
      </c>
      <c r="C42" s="214" t="e">
        <f t="shared" ref="C42" si="2">IF(D42-$S$17&lt;0,"",D42-$S$17)</f>
        <v>#VALUE!</v>
      </c>
      <c r="D42" s="216">
        <v>1676.88</v>
      </c>
      <c r="E42" s="216">
        <v>496.36</v>
      </c>
      <c r="F42" s="216">
        <v>474.56</v>
      </c>
      <c r="G42" s="216">
        <v>582.72</v>
      </c>
      <c r="H42" s="64"/>
      <c r="I42" s="64"/>
      <c r="J42" s="64"/>
      <c r="K42" s="64"/>
      <c r="L42" s="64"/>
      <c r="M42" s="193"/>
      <c r="N42" s="64"/>
      <c r="O42" s="64"/>
      <c r="P42" s="64"/>
      <c r="Q42" s="64"/>
      <c r="R42" s="67"/>
      <c r="S42" s="67"/>
      <c r="T42" s="67"/>
      <c r="U42" s="21"/>
      <c r="V42" s="21"/>
      <c r="W42" s="66"/>
      <c r="X42" s="66"/>
      <c r="Y42" s="66"/>
      <c r="Z42" s="21"/>
      <c r="AA42" s="21"/>
      <c r="AB42" s="66"/>
      <c r="AC42" s="66"/>
      <c r="AD42" s="13"/>
      <c r="AE42" s="13"/>
      <c r="AF42" s="13"/>
    </row>
    <row r="43" spans="1:42">
      <c r="A43" s="64" t="s">
        <v>55</v>
      </c>
      <c r="B43" s="215">
        <v>8</v>
      </c>
      <c r="C43" s="214" t="e">
        <f t="shared" ref="C43" si="3">IF(D43-$S$17&lt;0,"",D43-$S$17)</f>
        <v>#VALUE!</v>
      </c>
      <c r="D43" s="216">
        <v>2096.1</v>
      </c>
      <c r="E43" s="216">
        <v>620.45000000000005</v>
      </c>
      <c r="F43" s="216">
        <v>593.20000000000005</v>
      </c>
      <c r="G43" s="216">
        <v>728.39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7"/>
      <c r="S43" s="67"/>
      <c r="T43" s="67"/>
      <c r="U43" s="21"/>
      <c r="V43" s="21"/>
      <c r="W43" s="66"/>
      <c r="X43" s="66"/>
      <c r="Y43" s="66"/>
      <c r="Z43" s="21"/>
      <c r="AA43" s="21"/>
      <c r="AB43" s="66"/>
      <c r="AC43" s="66"/>
      <c r="AD43" s="13"/>
      <c r="AE43" s="13"/>
      <c r="AF43" s="13"/>
    </row>
    <row r="44" spans="1:42">
      <c r="A44" s="64" t="s">
        <v>56</v>
      </c>
      <c r="B44" s="215">
        <v>9</v>
      </c>
      <c r="C44" s="214" t="e">
        <f t="shared" ref="C44" si="4">IF(D44-$S$17&lt;0,"",D44-$S$17)</f>
        <v>#VALUE!</v>
      </c>
      <c r="D44" s="216">
        <v>2515.3200000000002</v>
      </c>
      <c r="E44" s="216">
        <v>744.53</v>
      </c>
      <c r="F44" s="216">
        <v>711.84</v>
      </c>
      <c r="G44" s="216">
        <v>874.07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1"/>
      <c r="S44" s="21"/>
      <c r="T44" s="21"/>
      <c r="U44" s="21"/>
      <c r="V44" s="21"/>
      <c r="W44" s="66"/>
      <c r="X44" s="66"/>
      <c r="Y44" s="66"/>
      <c r="Z44" s="21"/>
      <c r="AA44" s="21"/>
      <c r="AB44" s="66"/>
      <c r="AC44" s="66"/>
      <c r="AD44" s="13"/>
      <c r="AE44" s="13"/>
      <c r="AF44" s="13"/>
    </row>
    <row r="45" spans="1:42">
      <c r="A45" s="64" t="s">
        <v>57</v>
      </c>
      <c r="B45" s="215">
        <v>10</v>
      </c>
      <c r="C45" s="214" t="e">
        <f t="shared" ref="C45" si="5">IF(D45-$S$17&lt;0,"",D45-$S$17)</f>
        <v>#VALUE!</v>
      </c>
      <c r="D45" s="216">
        <v>3353.76</v>
      </c>
      <c r="E45" s="216">
        <v>992.71</v>
      </c>
      <c r="F45" s="216">
        <v>949.11</v>
      </c>
      <c r="G45" s="216">
        <v>1165.43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21"/>
      <c r="S45" s="21"/>
      <c r="T45" s="21"/>
      <c r="U45" s="21"/>
      <c r="V45" s="21"/>
      <c r="W45" s="66"/>
      <c r="X45" s="66"/>
      <c r="Y45" s="66"/>
      <c r="Z45" s="21"/>
      <c r="AA45" s="21"/>
      <c r="AB45" s="66"/>
      <c r="AC45" s="66"/>
      <c r="AD45" s="13"/>
      <c r="AE45" s="13"/>
      <c r="AF45" s="13"/>
    </row>
    <row r="46" spans="1:42">
      <c r="A46" s="64" t="s">
        <v>58</v>
      </c>
      <c r="B46" s="215">
        <v>11</v>
      </c>
      <c r="C46" s="214" t="e">
        <f t="shared" ref="C46" si="6">IF(D46-$S$17&lt;0,"",D46-$S$17)</f>
        <v>#VALUE!</v>
      </c>
      <c r="D46" s="216">
        <v>4192.2</v>
      </c>
      <c r="E46" s="216">
        <v>1240.8900000000001</v>
      </c>
      <c r="F46" s="216">
        <v>1186.3900000000001</v>
      </c>
      <c r="G46" s="216">
        <v>1456.79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21"/>
      <c r="S46" s="21"/>
      <c r="T46" s="21"/>
      <c r="U46" s="21"/>
      <c r="V46" s="21"/>
      <c r="W46" s="66"/>
      <c r="X46" s="66"/>
      <c r="Y46" s="66"/>
      <c r="Z46" s="21"/>
      <c r="AA46" s="21"/>
      <c r="AB46" s="66"/>
      <c r="AC46" s="66"/>
      <c r="AD46" s="13"/>
      <c r="AE46" s="13"/>
      <c r="AF46" s="13"/>
    </row>
    <row r="47" spans="1:42">
      <c r="A47" s="64"/>
      <c r="B47" s="215">
        <v>12</v>
      </c>
      <c r="C47" s="214" t="e">
        <f t="shared" ref="C47" si="7">IF(D47-$S$17&lt;0,"",D47-$S$17)</f>
        <v>#VALUE!</v>
      </c>
      <c r="D47" s="216">
        <v>5030.6400000000003</v>
      </c>
      <c r="E47" s="216">
        <v>1489.07</v>
      </c>
      <c r="F47" s="216">
        <v>1423.67</v>
      </c>
      <c r="G47" s="216">
        <v>1748.15</v>
      </c>
      <c r="H47" s="64"/>
      <c r="I47" s="64"/>
      <c r="J47" s="64"/>
      <c r="K47" s="64"/>
      <c r="L47" s="64"/>
      <c r="M47" s="64"/>
      <c r="N47" s="64"/>
      <c r="O47" s="64"/>
      <c r="P47" s="64" t="e">
        <f>MAX(INDEX(D36:G47,3,S36),T36)</f>
        <v>#VALUE!</v>
      </c>
      <c r="Q47" s="64"/>
      <c r="R47" s="21"/>
      <c r="S47" s="21"/>
      <c r="T47" s="21"/>
      <c r="U47" s="21"/>
      <c r="V47" s="21"/>
      <c r="W47" s="66"/>
      <c r="X47" s="66"/>
      <c r="Y47" s="66"/>
      <c r="Z47" s="21"/>
      <c r="AA47" s="21"/>
      <c r="AB47" s="66"/>
      <c r="AC47" s="66"/>
      <c r="AD47" s="13"/>
      <c r="AE47" s="13"/>
      <c r="AF47" s="13"/>
    </row>
    <row r="48" spans="1:42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21"/>
      <c r="S48" s="21"/>
      <c r="T48" s="21"/>
      <c r="U48" s="21"/>
      <c r="V48" s="21"/>
      <c r="W48" s="66"/>
      <c r="X48" s="66"/>
      <c r="Y48" s="66"/>
      <c r="Z48" s="21"/>
      <c r="AA48" s="21"/>
      <c r="AB48" s="66"/>
      <c r="AC48" s="66"/>
      <c r="AD48" s="13"/>
      <c r="AE48" s="13"/>
      <c r="AF48" s="13"/>
    </row>
    <row r="49" spans="1:42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6"/>
      <c r="S49" s="66"/>
      <c r="T49" s="66"/>
      <c r="U49" s="66"/>
      <c r="V49" s="66"/>
      <c r="W49" s="66"/>
      <c r="X49" s="66"/>
      <c r="Y49" s="6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13"/>
      <c r="AM49" s="13"/>
      <c r="AN49" s="13"/>
      <c r="AO49" s="13"/>
      <c r="AP49" s="13"/>
    </row>
    <row r="50" spans="1:42">
      <c r="A50" s="64"/>
      <c r="B50" s="64"/>
      <c r="C50" s="64"/>
      <c r="D50" s="64"/>
      <c r="E50" s="64"/>
      <c r="F50" s="64"/>
      <c r="G50" s="64"/>
      <c r="H50" s="64"/>
      <c r="I50" s="216"/>
      <c r="J50" s="64"/>
      <c r="K50" s="64"/>
      <c r="L50" s="64"/>
      <c r="M50" s="64"/>
      <c r="N50" s="64"/>
      <c r="O50" s="64"/>
      <c r="P50" s="64"/>
      <c r="Q50" s="64"/>
      <c r="R50" s="66"/>
      <c r="S50" s="66"/>
      <c r="T50" s="66"/>
      <c r="U50" s="66"/>
      <c r="V50" s="66"/>
      <c r="W50" s="66"/>
      <c r="X50" s="66"/>
      <c r="Y50" s="6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13"/>
      <c r="AM50" s="13"/>
      <c r="AN50" s="13"/>
      <c r="AO50" s="13"/>
      <c r="AP50" s="13"/>
    </row>
    <row r="51" spans="1:42">
      <c r="A51" s="138"/>
      <c r="B51" s="64"/>
      <c r="C51" s="64"/>
      <c r="D51" s="64"/>
      <c r="E51" s="64"/>
      <c r="F51" s="64"/>
      <c r="G51" s="64"/>
      <c r="H51" s="64"/>
      <c r="I51" s="216"/>
      <c r="J51" s="64"/>
      <c r="K51" s="64"/>
      <c r="L51" s="64"/>
      <c r="M51" s="64"/>
      <c r="N51" s="64"/>
      <c r="O51" s="64"/>
      <c r="P51" s="64"/>
      <c r="Q51" s="64"/>
      <c r="R51" s="66"/>
      <c r="S51" s="66"/>
      <c r="T51" s="66"/>
      <c r="U51" s="66"/>
      <c r="V51" s="66"/>
      <c r="W51" s="66"/>
      <c r="X51" s="66"/>
      <c r="Y51" s="6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13"/>
      <c r="AM51" s="13"/>
      <c r="AN51" s="13"/>
      <c r="AO51" s="13"/>
      <c r="AP51" s="13"/>
    </row>
    <row r="52" spans="1:4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21"/>
      <c r="O52" s="21"/>
      <c r="P52" s="21"/>
      <c r="Q52" s="21"/>
      <c r="R52" s="66"/>
      <c r="S52" s="66"/>
      <c r="T52" s="66"/>
      <c r="U52" s="66"/>
      <c r="V52" s="66"/>
      <c r="W52" s="66"/>
      <c r="X52" s="66"/>
      <c r="Y52" s="6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13"/>
      <c r="AM52" s="13"/>
      <c r="AN52" s="13"/>
      <c r="AO52" s="13"/>
      <c r="AP52" s="13"/>
    </row>
    <row r="53" spans="1:4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60"/>
      <c r="N53" s="21"/>
      <c r="O53" s="21"/>
      <c r="P53" s="21"/>
      <c r="Q53" s="21"/>
      <c r="R53" s="66"/>
      <c r="S53" s="66"/>
      <c r="T53" s="66"/>
      <c r="U53" s="66"/>
      <c r="V53" s="66"/>
      <c r="W53" s="66"/>
      <c r="X53" s="66"/>
      <c r="Y53" s="6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13"/>
      <c r="AM53" s="13"/>
      <c r="AN53" s="13"/>
      <c r="AO53" s="13"/>
      <c r="AP53" s="13"/>
    </row>
    <row r="54" spans="1:42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21"/>
      <c r="O54" s="21"/>
      <c r="P54" s="21"/>
      <c r="Q54" s="21"/>
      <c r="R54" s="66"/>
      <c r="S54" s="66"/>
      <c r="T54" s="66"/>
      <c r="U54" s="66"/>
      <c r="V54" s="66"/>
      <c r="W54" s="66"/>
      <c r="X54" s="66"/>
      <c r="Y54" s="6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13"/>
      <c r="AM54" s="13"/>
      <c r="AN54" s="13"/>
      <c r="AO54" s="13"/>
      <c r="AP54" s="13"/>
    </row>
    <row r="55" spans="1:42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21"/>
      <c r="O55" s="66"/>
      <c r="P55" s="66"/>
      <c r="Q55" s="66"/>
      <c r="R55" s="21"/>
      <c r="S55" s="21"/>
      <c r="T55" s="21"/>
      <c r="U55" s="21"/>
      <c r="V55" s="22"/>
      <c r="W55" s="22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13"/>
      <c r="AM55" s="13"/>
      <c r="AN55" s="13"/>
      <c r="AO55" s="13"/>
      <c r="AP55" s="13"/>
    </row>
    <row r="56" spans="1:4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21"/>
      <c r="O56" s="66"/>
      <c r="P56" s="66"/>
      <c r="Q56" s="66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13"/>
      <c r="AM56" s="13"/>
      <c r="AN56" s="13"/>
      <c r="AO56" s="13"/>
      <c r="AP56" s="13"/>
    </row>
    <row r="57" spans="1:42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21"/>
      <c r="O57" s="138"/>
      <c r="P57" s="138"/>
      <c r="Q57" s="138"/>
      <c r="R57" s="21"/>
      <c r="S57" s="21"/>
      <c r="T57" s="21"/>
      <c r="U57" s="21"/>
      <c r="V57" s="22"/>
      <c r="W57" s="22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13"/>
      <c r="AM57" s="13"/>
      <c r="AN57" s="13"/>
      <c r="AO57" s="13"/>
      <c r="AP57" s="13"/>
    </row>
    <row r="58" spans="1:42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40"/>
      <c r="O58" s="138"/>
      <c r="P58" s="138"/>
      <c r="Q58" s="138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13"/>
      <c r="AM58" s="13"/>
      <c r="AN58" s="13"/>
      <c r="AO58" s="13"/>
      <c r="AP58" s="13"/>
    </row>
    <row r="59" spans="1:42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140"/>
      <c r="O59" s="138"/>
      <c r="P59" s="138"/>
      <c r="Q59" s="138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13"/>
      <c r="AM59" s="13"/>
      <c r="AN59" s="13"/>
      <c r="AO59" s="13"/>
      <c r="AP59" s="13"/>
    </row>
    <row r="60" spans="1:42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140"/>
      <c r="O60" s="138"/>
      <c r="P60" s="138"/>
      <c r="Q60" s="13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13"/>
      <c r="AM60" s="13"/>
      <c r="AN60" s="13"/>
      <c r="AO60" s="13"/>
      <c r="AP60" s="13"/>
    </row>
    <row r="61" spans="1:42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140"/>
      <c r="O61" s="138"/>
      <c r="P61" s="138"/>
      <c r="Q61" s="13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13"/>
      <c r="AM61" s="13"/>
      <c r="AN61" s="13"/>
      <c r="AO61" s="13"/>
      <c r="AP61" s="13"/>
    </row>
    <row r="62" spans="1:4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138"/>
      <c r="O62" s="138"/>
      <c r="P62" s="138"/>
      <c r="Q62" s="13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13"/>
      <c r="AM62" s="13"/>
      <c r="AN62" s="13"/>
      <c r="AO62" s="13"/>
      <c r="AP62" s="13"/>
    </row>
    <row r="63" spans="1:42">
      <c r="R63" s="21"/>
      <c r="S63" s="21"/>
      <c r="T63" s="21"/>
      <c r="U63" s="21"/>
      <c r="V63" s="22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13"/>
      <c r="AM63" s="13"/>
      <c r="AN63" s="13"/>
      <c r="AO63" s="13"/>
      <c r="AP63" s="13"/>
    </row>
    <row r="64" spans="1:42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13"/>
      <c r="AM64" s="13"/>
      <c r="AN64" s="13"/>
      <c r="AO64" s="13"/>
      <c r="AP64" s="13"/>
    </row>
    <row r="65" spans="18:42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13"/>
      <c r="AM65" s="13"/>
      <c r="AN65" s="13"/>
      <c r="AO65" s="13"/>
      <c r="AP65" s="13"/>
    </row>
    <row r="66" spans="18:42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13"/>
      <c r="AM66" s="13"/>
      <c r="AN66" s="13"/>
      <c r="AO66" s="13"/>
      <c r="AP66" s="13"/>
    </row>
    <row r="67" spans="18:42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13"/>
      <c r="AM67" s="13"/>
      <c r="AN67" s="13"/>
      <c r="AO67" s="13"/>
      <c r="AP67" s="13"/>
    </row>
    <row r="68" spans="18:42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13"/>
      <c r="AM68" s="13"/>
      <c r="AN68" s="13"/>
      <c r="AO68" s="13"/>
      <c r="AP68" s="13"/>
    </row>
    <row r="69" spans="18:42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13"/>
      <c r="AM69" s="13"/>
      <c r="AN69" s="13"/>
      <c r="AO69" s="13"/>
      <c r="AP69" s="13"/>
    </row>
    <row r="70" spans="18:42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13"/>
      <c r="AM70" s="13"/>
      <c r="AN70" s="13"/>
      <c r="AO70" s="13"/>
      <c r="AP70" s="13"/>
    </row>
    <row r="71" spans="18:42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13"/>
      <c r="AM71" s="13"/>
      <c r="AN71" s="13"/>
      <c r="AO71" s="13"/>
      <c r="AP71" s="13"/>
    </row>
    <row r="72" spans="18:42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13"/>
      <c r="AM72" s="13"/>
      <c r="AN72" s="13"/>
      <c r="AO72" s="13"/>
      <c r="AP72" s="13"/>
    </row>
    <row r="73" spans="18:42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13"/>
      <c r="AM73" s="13"/>
      <c r="AN73" s="13"/>
      <c r="AO73" s="13"/>
      <c r="AP73" s="13"/>
    </row>
    <row r="74" spans="18:42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13"/>
      <c r="AM74" s="13"/>
      <c r="AN74" s="13"/>
      <c r="AO74" s="13"/>
      <c r="AP74" s="13"/>
    </row>
    <row r="75" spans="18:42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13"/>
      <c r="AM75" s="13"/>
      <c r="AN75" s="13"/>
      <c r="AO75" s="13"/>
      <c r="AP75" s="13"/>
    </row>
    <row r="76" spans="18:42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13"/>
      <c r="AM76" s="13"/>
      <c r="AN76" s="13"/>
      <c r="AO76" s="13"/>
      <c r="AP76" s="13"/>
    </row>
    <row r="77" spans="18:42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13"/>
      <c r="AM77" s="13"/>
      <c r="AN77" s="13"/>
      <c r="AO77" s="13"/>
      <c r="AP77" s="13"/>
    </row>
    <row r="78" spans="18:42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13"/>
      <c r="AM78" s="13"/>
      <c r="AN78" s="13"/>
      <c r="AO78" s="13"/>
      <c r="AP78" s="13"/>
    </row>
    <row r="79" spans="18:42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13"/>
      <c r="AM79" s="13"/>
      <c r="AN79" s="13"/>
      <c r="AO79" s="13"/>
      <c r="AP79" s="13"/>
    </row>
    <row r="80" spans="18:42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13"/>
      <c r="AM80" s="13"/>
      <c r="AN80" s="13"/>
      <c r="AO80" s="13"/>
      <c r="AP80" s="13"/>
    </row>
    <row r="81" spans="18:42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13"/>
      <c r="AM81" s="13"/>
      <c r="AN81" s="13"/>
      <c r="AO81" s="13"/>
      <c r="AP81" s="13"/>
    </row>
    <row r="82" spans="18:42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13"/>
      <c r="AM82" s="13"/>
      <c r="AN82" s="13"/>
      <c r="AO82" s="13"/>
      <c r="AP82" s="13"/>
    </row>
    <row r="83" spans="18:42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13"/>
      <c r="AM83" s="13"/>
      <c r="AN83" s="13"/>
      <c r="AO83" s="13"/>
      <c r="AP83" s="13"/>
    </row>
    <row r="84" spans="18:42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13"/>
      <c r="AM84" s="13"/>
      <c r="AN84" s="13"/>
      <c r="AO84" s="13"/>
      <c r="AP84" s="13"/>
    </row>
    <row r="85" spans="18:42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13"/>
      <c r="AM85" s="13"/>
      <c r="AN85" s="13"/>
      <c r="AO85" s="13"/>
      <c r="AP85" s="13"/>
    </row>
    <row r="86" spans="18:42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13"/>
      <c r="AM86" s="13"/>
      <c r="AN86" s="13"/>
      <c r="AO86" s="13"/>
      <c r="AP86" s="13"/>
    </row>
    <row r="87" spans="18:42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13"/>
      <c r="AM87" s="13"/>
      <c r="AN87" s="13"/>
      <c r="AO87" s="13"/>
      <c r="AP87" s="13"/>
    </row>
    <row r="88" spans="18:42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13"/>
      <c r="AM88" s="13"/>
      <c r="AN88" s="13"/>
      <c r="AO88" s="13"/>
      <c r="AP88" s="13"/>
    </row>
    <row r="89" spans="18:42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13"/>
      <c r="AM89" s="13"/>
      <c r="AN89" s="13"/>
      <c r="AO89" s="13"/>
      <c r="AP89" s="13"/>
    </row>
    <row r="90" spans="18:42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13"/>
      <c r="AM90" s="13"/>
      <c r="AN90" s="13"/>
      <c r="AO90" s="13"/>
      <c r="AP90" s="13"/>
    </row>
    <row r="91" spans="18:42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13"/>
      <c r="AM91" s="13"/>
      <c r="AN91" s="13"/>
      <c r="AO91" s="13"/>
      <c r="AP91" s="13"/>
    </row>
    <row r="92" spans="18:42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13"/>
      <c r="AM92" s="13"/>
      <c r="AN92" s="13"/>
      <c r="AO92" s="13"/>
      <c r="AP92" s="13"/>
    </row>
    <row r="93" spans="18:42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13"/>
      <c r="AM93" s="13"/>
      <c r="AN93" s="13"/>
      <c r="AO93" s="13"/>
      <c r="AP93" s="13"/>
    </row>
    <row r="94" spans="18:42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13"/>
      <c r="AM94" s="13"/>
      <c r="AN94" s="13"/>
      <c r="AO94" s="13"/>
      <c r="AP94" s="13"/>
    </row>
    <row r="95" spans="18:42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13"/>
      <c r="AM95" s="13"/>
      <c r="AN95" s="13"/>
      <c r="AO95" s="13"/>
      <c r="AP95" s="13"/>
    </row>
    <row r="96" spans="18:42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13"/>
      <c r="AM96" s="13"/>
      <c r="AN96" s="13"/>
      <c r="AO96" s="13"/>
      <c r="AP96" s="13"/>
    </row>
    <row r="97" spans="18:4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13"/>
      <c r="AM97" s="13"/>
      <c r="AN97" s="13"/>
      <c r="AO97" s="13"/>
      <c r="AP97" s="13"/>
    </row>
    <row r="98" spans="18:42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13"/>
      <c r="AM98" s="13"/>
      <c r="AN98" s="13"/>
      <c r="AO98" s="13"/>
      <c r="AP98" s="13"/>
    </row>
    <row r="99" spans="18:42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13"/>
      <c r="AM99" s="13"/>
      <c r="AN99" s="13"/>
      <c r="AO99" s="13"/>
      <c r="AP99" s="13"/>
    </row>
    <row r="100" spans="18:42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13"/>
      <c r="AM100" s="13"/>
      <c r="AN100" s="13"/>
      <c r="AO100" s="13"/>
      <c r="AP100" s="13"/>
    </row>
    <row r="101" spans="18:42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13"/>
      <c r="AM101" s="13"/>
      <c r="AN101" s="13"/>
      <c r="AO101" s="13"/>
      <c r="AP101" s="13"/>
    </row>
    <row r="102" spans="18:42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13"/>
      <c r="AM102" s="13"/>
      <c r="AN102" s="13"/>
      <c r="AO102" s="13"/>
      <c r="AP102" s="13"/>
    </row>
    <row r="103" spans="18:42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13"/>
      <c r="AM103" s="13"/>
      <c r="AN103" s="13"/>
      <c r="AO103" s="13"/>
      <c r="AP103" s="13"/>
    </row>
    <row r="104" spans="18:42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13"/>
      <c r="AM104" s="13"/>
      <c r="AN104" s="13"/>
      <c r="AO104" s="13"/>
      <c r="AP104" s="13"/>
    </row>
    <row r="105" spans="18:42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13"/>
      <c r="AM105" s="13"/>
      <c r="AN105" s="13"/>
      <c r="AO105" s="13"/>
      <c r="AP105" s="13"/>
    </row>
    <row r="106" spans="18:42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13"/>
      <c r="AM106" s="13"/>
      <c r="AN106" s="13"/>
      <c r="AO106" s="13"/>
      <c r="AP106" s="13"/>
    </row>
    <row r="107" spans="18:42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13"/>
      <c r="AM107" s="13"/>
      <c r="AN107" s="13"/>
      <c r="AO107" s="13"/>
      <c r="AP107" s="13"/>
    </row>
    <row r="108" spans="18:42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13"/>
      <c r="AM108" s="13"/>
      <c r="AN108" s="13"/>
      <c r="AO108" s="13"/>
      <c r="AP108" s="13"/>
    </row>
    <row r="109" spans="18:42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13"/>
      <c r="AM109" s="13"/>
      <c r="AN109" s="13"/>
      <c r="AO109" s="13"/>
      <c r="AP109" s="13"/>
    </row>
    <row r="110" spans="18:42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13"/>
      <c r="AM110" s="13"/>
      <c r="AN110" s="13"/>
      <c r="AO110" s="13"/>
      <c r="AP110" s="13"/>
    </row>
    <row r="111" spans="18:42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13"/>
      <c r="AM111" s="13"/>
      <c r="AN111" s="13"/>
      <c r="AO111" s="13"/>
      <c r="AP111" s="13"/>
    </row>
    <row r="112" spans="18:42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13"/>
      <c r="AM112" s="13"/>
      <c r="AN112" s="13"/>
      <c r="AO112" s="13"/>
      <c r="AP112" s="13"/>
    </row>
    <row r="113" spans="18:42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13"/>
      <c r="AM113" s="13"/>
      <c r="AN113" s="13"/>
      <c r="AO113" s="13"/>
      <c r="AP113" s="13"/>
    </row>
    <row r="114" spans="18:42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13"/>
      <c r="AM114" s="13"/>
      <c r="AN114" s="13"/>
      <c r="AO114" s="13"/>
      <c r="AP114" s="13"/>
    </row>
    <row r="115" spans="18:42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13"/>
      <c r="AM115" s="13"/>
      <c r="AN115" s="13"/>
      <c r="AO115" s="13"/>
      <c r="AP115" s="13"/>
    </row>
    <row r="116" spans="18:42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13"/>
      <c r="AM116" s="13"/>
      <c r="AN116" s="13"/>
      <c r="AO116" s="13"/>
      <c r="AP116" s="13"/>
    </row>
    <row r="117" spans="18:42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13"/>
      <c r="AM117" s="13"/>
      <c r="AN117" s="13"/>
      <c r="AO117" s="13"/>
      <c r="AP117" s="13"/>
    </row>
    <row r="118" spans="18:42"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8:42"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8:42"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8:42"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8:42"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8:42"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8:42"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8:42"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8:42"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8:42"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8:42"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</row>
    <row r="129" spans="18:42"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8:42"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8:42"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8:42"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8:42"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</row>
    <row r="134" spans="18:42"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8:42"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8:42"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8:42"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8:42"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8:42"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8:42"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8:42"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8:42"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</row>
    <row r="143" spans="18:42"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8:42"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8:42"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</row>
    <row r="146" spans="18:42"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</row>
    <row r="147" spans="18:42"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8:42"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</row>
    <row r="149" spans="18:42"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</row>
    <row r="150" spans="18:42"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8:42"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</row>
    <row r="152" spans="18:42"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8:42"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8:42"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8:42"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8:42"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8:42"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8:42"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8:42"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8:42"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8:42"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8:42"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  <row r="163" spans="18:42"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</row>
    <row r="164" spans="18:42"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</row>
    <row r="165" spans="18:42"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</row>
    <row r="166" spans="18:42"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</row>
    <row r="167" spans="18:42"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</row>
    <row r="168" spans="18:42"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</row>
    <row r="169" spans="18:42"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</row>
    <row r="170" spans="18:42"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</row>
    <row r="171" spans="18:42"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</row>
    <row r="172" spans="18:42"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</row>
    <row r="173" spans="18:42"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</row>
    <row r="174" spans="18:42"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</row>
    <row r="175" spans="18:42"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</row>
    <row r="176" spans="18:42"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</row>
    <row r="177" spans="18:42"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</row>
    <row r="178" spans="18:42"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</row>
    <row r="179" spans="18:42"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</row>
    <row r="180" spans="18:42"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</row>
    <row r="181" spans="18:42"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8:42"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8:42"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</row>
    <row r="184" spans="18:42"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8:42"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8:42"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8:42"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8:42"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8:42"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8:42"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8:42"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8:42"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8:42"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8:42"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8:42"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8:42"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</row>
    <row r="197" spans="18:42"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8:42"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8:42"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</row>
    <row r="200" spans="18:42"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8:42"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8:42"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8:42"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8:42"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8:42"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8:42"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</row>
    <row r="207" spans="18:42"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</row>
    <row r="208" spans="18:42"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</row>
    <row r="209" spans="18:42"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</row>
    <row r="210" spans="18:42"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</row>
    <row r="211" spans="18:42"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</row>
    <row r="212" spans="18:42"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</row>
    <row r="213" spans="18:42"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</row>
    <row r="214" spans="18:42"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</row>
    <row r="215" spans="18:42"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</row>
    <row r="216" spans="18:42"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</row>
    <row r="217" spans="18:42"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</row>
    <row r="218" spans="18:42"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8:42"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</row>
    <row r="220" spans="18:42"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</row>
    <row r="221" spans="18:42"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</row>
    <row r="222" spans="18:42"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</row>
    <row r="223" spans="18:42"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</row>
    <row r="224" spans="18:42"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</row>
    <row r="225" spans="18:42"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</row>
    <row r="226" spans="18:42"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</row>
    <row r="227" spans="18:42"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8:42"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</row>
    <row r="229" spans="18:42"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8:42"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</row>
    <row r="231" spans="18:42"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</row>
    <row r="232" spans="18:42"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</row>
    <row r="233" spans="18:42"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8:42"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8:42"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8:42"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8:42"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</sheetData>
  <sheetProtection password="D294" sheet="1" objects="1" scenarios="1"/>
  <dataConsolidate/>
  <mergeCells count="25">
    <mergeCell ref="V16:Y16"/>
    <mergeCell ref="C11:K11"/>
    <mergeCell ref="B3:Q3"/>
    <mergeCell ref="R11:S12"/>
    <mergeCell ref="R13:S13"/>
    <mergeCell ref="S4:U4"/>
    <mergeCell ref="S5:U5"/>
    <mergeCell ref="S6:U6"/>
    <mergeCell ref="B4:M5"/>
    <mergeCell ref="N14:Q16"/>
    <mergeCell ref="N8:Q8"/>
    <mergeCell ref="N17:Q18"/>
    <mergeCell ref="N11:Q11"/>
    <mergeCell ref="I8:K8"/>
    <mergeCell ref="B28:L29"/>
    <mergeCell ref="E31:H31"/>
    <mergeCell ref="C20:E20"/>
    <mergeCell ref="E21:K21"/>
    <mergeCell ref="N12:Q13"/>
    <mergeCell ref="N32:Q32"/>
    <mergeCell ref="N35:Q36"/>
    <mergeCell ref="N33:Q34"/>
    <mergeCell ref="P9:Q9"/>
    <mergeCell ref="P10:Q10"/>
    <mergeCell ref="N25:Q26"/>
  </mergeCells>
  <conditionalFormatting sqref="I25">
    <cfRule type="expression" dxfId="16" priority="12">
      <formula>$C$14="Sim"</formula>
    </cfRule>
  </conditionalFormatting>
  <conditionalFormatting sqref="J24">
    <cfRule type="expression" dxfId="15" priority="13">
      <formula>$C$14="Sim"</formula>
    </cfRule>
  </conditionalFormatting>
  <conditionalFormatting sqref="N14">
    <cfRule type="expression" dxfId="14" priority="4">
      <formula>$N$14=""</formula>
    </cfRule>
  </conditionalFormatting>
  <conditionalFormatting sqref="P19">
    <cfRule type="expression" dxfId="13" priority="3">
      <formula>$P$19=$N$12</formula>
    </cfRule>
  </conditionalFormatting>
  <conditionalFormatting sqref="N19">
    <cfRule type="expression" dxfId="12" priority="2">
      <formula>$N$19="50% IAS"</formula>
    </cfRule>
  </conditionalFormatting>
  <conditionalFormatting sqref="N25">
    <cfRule type="expression" dxfId="11" priority="1">
      <formula>$N$14=""</formula>
    </cfRule>
  </conditionalFormatting>
  <dataValidations count="4">
    <dataValidation type="list" allowBlank="1" showInputMessage="1" showErrorMessage="1" sqref="C11">
      <formula1>$S$4:$S$7</formula1>
    </dataValidation>
    <dataValidation type="list" allowBlank="1" showInputMessage="1" showErrorMessage="1" sqref="C14">
      <formula1>$S$2:$S$3</formula1>
    </dataValidation>
    <dataValidation type="list" allowBlank="1" showInputMessage="1" showErrorMessage="1" sqref="I31">
      <formula1>INDIRECT($K$37)</formula1>
    </dataValidation>
    <dataValidation type="list" allowBlank="1" showInputMessage="1" showErrorMessage="1" sqref="C31">
      <formula1>S2:S3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I24 O30:Q30 R13 N19:N23 P19:P23 P9:P10 N12 N14 N25 K37 S36" emptyCellReference="1"/>
    <ignoredError sqref="S17:T17 T33:T39 C36:C47 R33:R38 P47" evalError="1"/>
    <ignoredError sqref="N30 R39" evalError="1" emptyCellReference="1"/>
  </ignoredError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7"/>
  <sheetViews>
    <sheetView showGridLines="0" showRowColHeaders="0" workbookViewId="0">
      <selection activeCell="N20" sqref="N20"/>
    </sheetView>
  </sheetViews>
  <sheetFormatPr baseColWidth="10" defaultRowHeight="15" x14ac:dyDescent="0"/>
  <cols>
    <col min="1" max="1" width="7.33203125" customWidth="1"/>
    <col min="2" max="2" width="4.83203125" customWidth="1"/>
    <col min="3" max="3" width="25" customWidth="1"/>
    <col min="4" max="4" width="4.33203125" customWidth="1"/>
    <col min="5" max="5" width="5.33203125" customWidth="1"/>
    <col min="6" max="6" width="4.33203125" customWidth="1"/>
    <col min="7" max="7" width="3.5" customWidth="1"/>
    <col min="8" max="8" width="4.1640625" customWidth="1"/>
    <col min="9" max="9" width="25" customWidth="1"/>
    <col min="10" max="10" width="4.33203125" customWidth="1"/>
    <col min="11" max="11" width="11.1640625" customWidth="1"/>
    <col min="12" max="12" width="4.5" customWidth="1"/>
    <col min="13" max="13" width="4.33203125" customWidth="1"/>
    <col min="14" max="14" width="16" customWidth="1"/>
    <col min="15" max="15" width="7.1640625" customWidth="1"/>
    <col min="16" max="16" width="10" customWidth="1"/>
    <col min="17" max="17" width="8.33203125" customWidth="1"/>
    <col min="19" max="19" width="14.6640625" customWidth="1"/>
    <col min="23" max="23" width="17.83203125" bestFit="1" customWidth="1"/>
    <col min="24" max="24" width="18.1640625" bestFit="1" customWidth="1"/>
    <col min="25" max="25" width="12.5" bestFit="1" customWidth="1"/>
    <col min="26" max="26" width="18.1640625" bestFit="1" customWidth="1"/>
    <col min="27" max="27" width="13.1640625" customWidth="1"/>
    <col min="28" max="28" width="18.1640625" bestFit="1" customWidth="1"/>
    <col min="29" max="29" width="12.6640625" customWidth="1"/>
  </cols>
  <sheetData>
    <row r="1" spans="1:4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</row>
    <row r="2" spans="1:4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6"/>
      <c r="S2" s="66" t="s">
        <v>11</v>
      </c>
      <c r="T2" s="66"/>
      <c r="U2" s="66"/>
      <c r="V2" s="66"/>
      <c r="W2" s="66"/>
      <c r="X2" s="66"/>
      <c r="Y2" s="66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66"/>
      <c r="AM2" s="66"/>
      <c r="AN2" s="66"/>
      <c r="AO2" s="66"/>
      <c r="AP2" s="66"/>
      <c r="AQ2" s="60"/>
      <c r="AR2" s="60"/>
      <c r="AS2" s="60"/>
    </row>
    <row r="3" spans="1:45" ht="40" customHeight="1">
      <c r="A3" s="60"/>
      <c r="B3" s="84"/>
      <c r="C3" s="195" t="s">
        <v>42</v>
      </c>
      <c r="D3" s="196"/>
      <c r="E3" s="196"/>
      <c r="F3" s="196"/>
      <c r="G3" s="196"/>
      <c r="H3" s="196"/>
      <c r="I3" s="84"/>
      <c r="J3" s="84"/>
      <c r="K3" s="84"/>
      <c r="L3" s="84"/>
      <c r="M3" s="84"/>
      <c r="N3" s="84"/>
      <c r="O3" s="84"/>
      <c r="P3" s="84"/>
      <c r="Q3" s="84"/>
      <c r="R3" s="14"/>
      <c r="S3" s="66" t="s">
        <v>12</v>
      </c>
      <c r="T3" s="66"/>
      <c r="U3" s="66"/>
      <c r="V3" s="66"/>
      <c r="W3" s="66" t="s">
        <v>1</v>
      </c>
      <c r="X3" s="66"/>
      <c r="Y3" s="66">
        <v>1</v>
      </c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66"/>
      <c r="AM3" s="66"/>
      <c r="AN3" s="66"/>
      <c r="AO3" s="66"/>
      <c r="AP3" s="66"/>
      <c r="AQ3" s="60"/>
      <c r="AR3" s="60"/>
      <c r="AS3" s="60"/>
    </row>
    <row r="4" spans="1:45" ht="20" customHeight="1">
      <c r="A4" s="60"/>
      <c r="B4" s="85"/>
      <c r="C4" s="198" t="s">
        <v>67</v>
      </c>
      <c r="D4" s="198"/>
      <c r="E4" s="198"/>
      <c r="F4" s="198"/>
      <c r="G4" s="198"/>
      <c r="H4" s="198"/>
      <c r="I4" s="85"/>
      <c r="J4" s="85"/>
      <c r="K4" s="85"/>
      <c r="L4" s="85"/>
      <c r="M4" s="85"/>
      <c r="N4" s="85"/>
      <c r="O4" s="89"/>
      <c r="P4" s="89"/>
      <c r="Q4" s="89"/>
      <c r="R4" s="49">
        <v>0.29599999999999999</v>
      </c>
      <c r="S4" s="78" t="s">
        <v>59</v>
      </c>
      <c r="T4" s="78"/>
      <c r="U4" s="78"/>
      <c r="V4" s="66">
        <v>1</v>
      </c>
      <c r="W4" s="66" t="s">
        <v>2</v>
      </c>
      <c r="X4" s="66"/>
      <c r="Y4" s="66">
        <v>2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66"/>
      <c r="AM4" s="66"/>
      <c r="AN4" s="66"/>
      <c r="AO4" s="66"/>
      <c r="AP4" s="66"/>
      <c r="AQ4" s="60"/>
      <c r="AR4" s="60"/>
      <c r="AS4" s="60"/>
    </row>
    <row r="5" spans="1:45" ht="20" customHeight="1">
      <c r="A5" s="60"/>
      <c r="B5" s="85"/>
      <c r="C5" s="198" t="s">
        <v>40</v>
      </c>
      <c r="D5" s="198"/>
      <c r="E5" s="198"/>
      <c r="F5" s="198"/>
      <c r="G5" s="198"/>
      <c r="H5" s="198"/>
      <c r="I5" s="85"/>
      <c r="J5" s="85"/>
      <c r="K5" s="85"/>
      <c r="L5" s="85"/>
      <c r="M5" s="85"/>
      <c r="N5" s="85"/>
      <c r="O5" s="89"/>
      <c r="P5" s="89"/>
      <c r="Q5" s="89"/>
      <c r="R5" s="49">
        <v>0.28299999999999997</v>
      </c>
      <c r="S5" s="78" t="s">
        <v>18</v>
      </c>
      <c r="T5" s="78"/>
      <c r="U5" s="78"/>
      <c r="V5" s="66">
        <v>2</v>
      </c>
      <c r="W5" s="66" t="s">
        <v>3</v>
      </c>
      <c r="X5" s="66"/>
      <c r="Y5" s="66">
        <v>3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66"/>
      <c r="AM5" s="66"/>
      <c r="AN5" s="66"/>
      <c r="AO5" s="66"/>
      <c r="AP5" s="66"/>
      <c r="AQ5" s="60"/>
      <c r="AR5" s="60"/>
      <c r="AS5" s="60"/>
    </row>
    <row r="6" spans="1:45" ht="22" customHeight="1">
      <c r="A6" s="60"/>
      <c r="B6" s="90"/>
      <c r="C6" s="199" t="s">
        <v>41</v>
      </c>
      <c r="D6" s="199"/>
      <c r="E6" s="199"/>
      <c r="F6" s="197"/>
      <c r="G6" s="197"/>
      <c r="H6" s="197"/>
      <c r="I6" s="90"/>
      <c r="J6" s="90"/>
      <c r="K6" s="90"/>
      <c r="L6" s="90"/>
      <c r="M6" s="90"/>
      <c r="N6" s="94"/>
      <c r="O6" s="94"/>
      <c r="P6" s="94"/>
      <c r="Q6" s="94"/>
      <c r="R6" s="49">
        <v>0.34749999999999998</v>
      </c>
      <c r="S6" s="78" t="s">
        <v>19</v>
      </c>
      <c r="T6" s="78"/>
      <c r="U6" s="78"/>
      <c r="V6" s="66">
        <v>3</v>
      </c>
      <c r="W6" s="66"/>
      <c r="X6" s="66"/>
      <c r="Y6" s="66">
        <v>4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66"/>
      <c r="AM6" s="66"/>
      <c r="AN6" s="66"/>
      <c r="AO6" s="66"/>
      <c r="AP6" s="66"/>
      <c r="AQ6" s="60"/>
      <c r="AR6" s="60"/>
      <c r="AS6" s="60"/>
    </row>
    <row r="7" spans="1:45" ht="18">
      <c r="A7" s="60"/>
      <c r="B7" s="95"/>
      <c r="C7" s="96"/>
      <c r="D7" s="96"/>
      <c r="E7" s="96"/>
      <c r="F7" s="96"/>
      <c r="G7" s="97"/>
      <c r="H7" s="97"/>
      <c r="I7" s="97"/>
      <c r="J7" s="97"/>
      <c r="K7" s="97"/>
      <c r="L7" s="97"/>
      <c r="M7" s="60"/>
      <c r="N7" s="98"/>
      <c r="O7" s="98"/>
      <c r="P7" s="98"/>
      <c r="Q7" s="98"/>
      <c r="R7" s="49">
        <v>0.34749999999999998</v>
      </c>
      <c r="S7" s="138" t="s">
        <v>20</v>
      </c>
      <c r="T7" s="66"/>
      <c r="U7" s="66"/>
      <c r="V7" s="66">
        <v>4</v>
      </c>
      <c r="W7" s="66"/>
      <c r="X7" s="66"/>
      <c r="Y7" s="66">
        <v>5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66"/>
      <c r="AM7" s="66"/>
      <c r="AN7" s="66"/>
      <c r="AO7" s="66"/>
      <c r="AP7" s="66"/>
      <c r="AQ7" s="60"/>
      <c r="AR7" s="60"/>
      <c r="AS7" s="60"/>
    </row>
    <row r="8" spans="1:45" ht="20" customHeight="1">
      <c r="A8" s="60"/>
      <c r="B8" s="99">
        <v>1</v>
      </c>
      <c r="C8" s="100" t="s">
        <v>21</v>
      </c>
      <c r="D8" s="96"/>
      <c r="E8" s="96"/>
      <c r="F8" s="96"/>
      <c r="G8" s="97"/>
      <c r="H8" s="97"/>
      <c r="I8" s="101"/>
      <c r="J8" s="101"/>
      <c r="K8" s="101"/>
      <c r="L8" s="102"/>
      <c r="M8" s="60"/>
      <c r="N8" s="68" t="s">
        <v>23</v>
      </c>
      <c r="O8" s="68"/>
      <c r="P8" s="68"/>
      <c r="Q8" s="68"/>
      <c r="R8" s="66"/>
      <c r="S8" s="138"/>
      <c r="T8" s="66"/>
      <c r="U8" s="66"/>
      <c r="V8" s="66"/>
      <c r="W8" s="66"/>
      <c r="X8" s="66"/>
      <c r="Y8" s="66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66"/>
      <c r="AM8" s="66"/>
      <c r="AN8" s="66"/>
      <c r="AO8" s="66"/>
      <c r="AP8" s="66"/>
      <c r="AQ8" s="60"/>
      <c r="AR8" s="60"/>
      <c r="AS8" s="60"/>
    </row>
    <row r="9" spans="1:45" ht="20" customHeight="1">
      <c r="A9" s="60"/>
      <c r="B9" s="103"/>
      <c r="C9" s="104"/>
      <c r="D9" s="105"/>
      <c r="E9" s="105"/>
      <c r="F9" s="105"/>
      <c r="G9" s="106"/>
      <c r="H9" s="106"/>
      <c r="I9" s="106"/>
      <c r="J9" s="106"/>
      <c r="K9" s="106"/>
      <c r="L9" s="106"/>
      <c r="M9" s="60"/>
      <c r="N9" s="158" t="s">
        <v>26</v>
      </c>
      <c r="O9" s="158"/>
      <c r="P9" s="159">
        <f>IF(C14="Não",C22*0.7+(I22+C25)*0.2,IF(AND(C14="Sim",I25&lt;C22*0.7+(I22+C25)*0.2),I25,IF(AND(C14="Sim",I25&gt;=C22*0.7+(I22+C25)*0.2),C22*0.7+(I22+C25)*0.2,IF(AND(C22="",I22="",C25="",I25=""),""))))</f>
        <v>10500</v>
      </c>
      <c r="Q9" s="159"/>
      <c r="R9" s="66"/>
      <c r="S9" s="66"/>
      <c r="T9" s="66"/>
      <c r="U9" s="66"/>
      <c r="V9" s="66"/>
      <c r="W9" s="66"/>
      <c r="X9" s="66"/>
      <c r="Y9" s="66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66"/>
      <c r="AM9" s="66"/>
      <c r="AN9" s="66"/>
      <c r="AO9" s="66"/>
      <c r="AP9" s="66"/>
      <c r="AQ9" s="60"/>
      <c r="AR9" s="60"/>
      <c r="AS9" s="60"/>
    </row>
    <row r="10" spans="1:45" ht="20" customHeight="1">
      <c r="A10" s="60"/>
      <c r="B10" s="107"/>
      <c r="C10" s="108" t="s">
        <v>16</v>
      </c>
      <c r="D10" s="109"/>
      <c r="E10" s="110"/>
      <c r="F10" s="110"/>
      <c r="G10" s="110"/>
      <c r="H10" s="110"/>
      <c r="I10" s="110"/>
      <c r="J10" s="110"/>
      <c r="K10" s="110"/>
      <c r="L10" s="110"/>
      <c r="M10" s="60"/>
      <c r="N10" s="175" t="s">
        <v>27</v>
      </c>
      <c r="O10" s="56"/>
      <c r="P10" s="160">
        <f>IF(C11="Prestadores de serviços",29.6%,IF(C11="Empresários em nome individual com rendimentos exclusivos de atividade comercial ou industrial",34.75%,IF(C11="Produtores agrícolas com rendimentos exclusivos da agricultura",28.3%,IF(C11="Titulares de estabelecimento individual de responsabilidade limitada (EIRL)",34.75%,IF(C11="","")))))</f>
        <v>0.29600000000000004</v>
      </c>
      <c r="Q10" s="160"/>
      <c r="R10" s="15"/>
      <c r="S10" s="15"/>
      <c r="T10" s="66"/>
      <c r="U10" s="66"/>
      <c r="V10" s="66"/>
      <c r="W10" s="66"/>
      <c r="X10" s="66"/>
      <c r="Y10" s="6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66"/>
      <c r="AM10" s="66"/>
      <c r="AN10" s="66"/>
      <c r="AO10" s="66"/>
      <c r="AP10" s="66"/>
      <c r="AQ10" s="60"/>
      <c r="AR10" s="60"/>
      <c r="AS10" s="60"/>
    </row>
    <row r="11" spans="1:45" ht="20" customHeight="1">
      <c r="A11" s="60"/>
      <c r="B11" s="110"/>
      <c r="C11" s="111" t="s">
        <v>59</v>
      </c>
      <c r="D11" s="111"/>
      <c r="E11" s="111"/>
      <c r="F11" s="111"/>
      <c r="G11" s="111"/>
      <c r="H11" s="111"/>
      <c r="I11" s="111"/>
      <c r="J11" s="111"/>
      <c r="K11" s="111"/>
      <c r="L11" s="110"/>
      <c r="M11" s="60"/>
      <c r="N11" s="142" t="s">
        <v>34</v>
      </c>
      <c r="O11" s="142"/>
      <c r="P11" s="142"/>
      <c r="Q11" s="142"/>
      <c r="R11" s="76"/>
      <c r="S11" s="76"/>
      <c r="T11" s="66"/>
      <c r="U11" s="66"/>
      <c r="V11" s="66"/>
      <c r="W11" s="66"/>
      <c r="X11" s="66"/>
      <c r="Y11" s="66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66"/>
      <c r="AM11" s="66"/>
      <c r="AN11" s="66"/>
      <c r="AO11" s="66"/>
      <c r="AP11" s="66"/>
      <c r="AQ11" s="60"/>
      <c r="AR11" s="60"/>
      <c r="AS11" s="60"/>
    </row>
    <row r="12" spans="1:45" ht="21" customHeight="1">
      <c r="A12" s="60"/>
      <c r="B12" s="110"/>
      <c r="C12" s="112"/>
      <c r="D12" s="112"/>
      <c r="E12" s="112"/>
      <c r="F12" s="112"/>
      <c r="G12" s="112"/>
      <c r="H12" s="112"/>
      <c r="I12" s="112"/>
      <c r="J12" s="112"/>
      <c r="K12" s="112"/>
      <c r="L12" s="110"/>
      <c r="M12" s="60"/>
      <c r="N12" s="72">
        <f>IF(OR(C11="",C14="",AND(C22="",I22="",C25="")),"",IF(AND(I25&gt;0,R36&lt;=4),INDEX(D36:G47,3,S36),T36))</f>
        <v>248.18</v>
      </c>
      <c r="O12" s="72"/>
      <c r="P12" s="72"/>
      <c r="Q12" s="73"/>
      <c r="R12" s="76"/>
      <c r="S12" s="76"/>
      <c r="T12" s="66"/>
      <c r="U12" s="66"/>
      <c r="V12" s="66"/>
      <c r="W12" s="66"/>
      <c r="X12" s="66"/>
      <c r="Y12" s="66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66"/>
      <c r="AM12" s="66"/>
      <c r="AN12" s="66"/>
      <c r="AO12" s="66"/>
      <c r="AP12" s="66"/>
      <c r="AQ12" s="60"/>
      <c r="AR12" s="60"/>
      <c r="AS12" s="60"/>
    </row>
    <row r="13" spans="1:45" ht="20" customHeight="1">
      <c r="A13" s="113"/>
      <c r="B13" s="107"/>
      <c r="C13" s="114" t="s">
        <v>17</v>
      </c>
      <c r="D13" s="109"/>
      <c r="E13" s="115"/>
      <c r="F13" s="115"/>
      <c r="G13" s="115"/>
      <c r="H13" s="115"/>
      <c r="I13" s="115"/>
      <c r="J13" s="115"/>
      <c r="K13" s="115"/>
      <c r="L13" s="115"/>
      <c r="M13" s="60"/>
      <c r="N13" s="72"/>
      <c r="O13" s="72"/>
      <c r="P13" s="72"/>
      <c r="Q13" s="73"/>
      <c r="R13" s="81">
        <f>MAX(62.04,C22*0.7*IF(C11="Produtores agrícolas com rendimentos exclusivos da agricultura",0.283,IF(C11="Trabalhadores independentes",0.296))/12)+I22*0.2/12*0.3475+C25*0.2*0.3475/12</f>
        <v>62.04</v>
      </c>
      <c r="S13" s="77"/>
      <c r="T13" s="66"/>
      <c r="U13" s="66"/>
      <c r="V13" s="66"/>
      <c r="W13" s="66"/>
      <c r="X13" s="66"/>
      <c r="Y13" s="66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66"/>
      <c r="AM13" s="66"/>
      <c r="AN13" s="66"/>
      <c r="AO13" s="66"/>
      <c r="AP13" s="66"/>
      <c r="AQ13" s="60"/>
      <c r="AR13" s="60"/>
      <c r="AS13" s="60"/>
    </row>
    <row r="14" spans="1:45" ht="20" customHeight="1">
      <c r="A14" s="60"/>
      <c r="B14" s="116"/>
      <c r="C14" s="117" t="s">
        <v>12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60"/>
      <c r="N14" s="143" t="str">
        <f>IF(P9&lt;5030.64,R18,IF(P9&gt;5030.64,R17,""))</f>
        <v>Pode optar por escolher até dois escalões abaixo ou dois escalões acima da contribuição oficiosa definida pela Segurança Social</v>
      </c>
      <c r="O14" s="143"/>
      <c r="P14" s="143"/>
      <c r="Q14" s="143"/>
      <c r="R14" s="16"/>
      <c r="S14" s="17"/>
      <c r="T14" s="66"/>
      <c r="U14" s="66"/>
      <c r="V14" s="66"/>
      <c r="W14" s="66"/>
      <c r="X14" s="66"/>
      <c r="Y14" s="66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66"/>
      <c r="AM14" s="66"/>
      <c r="AN14" s="66"/>
      <c r="AO14" s="66"/>
      <c r="AP14" s="66"/>
      <c r="AQ14" s="60"/>
      <c r="AR14" s="60"/>
      <c r="AS14" s="60"/>
    </row>
    <row r="15" spans="1:45" ht="20" customHeight="1">
      <c r="A15" s="60"/>
      <c r="B15" s="116"/>
      <c r="C15" s="112"/>
      <c r="D15" s="115"/>
      <c r="E15" s="115"/>
      <c r="F15" s="115"/>
      <c r="G15" s="115"/>
      <c r="H15" s="115"/>
      <c r="I15" s="115"/>
      <c r="J15" s="115"/>
      <c r="K15" s="115"/>
      <c r="L15" s="115"/>
      <c r="M15" s="60"/>
      <c r="N15" s="143"/>
      <c r="O15" s="143"/>
      <c r="P15" s="143"/>
      <c r="Q15" s="143"/>
      <c r="R15" s="18"/>
      <c r="S15" s="18"/>
      <c r="T15" s="66"/>
      <c r="U15" s="66"/>
      <c r="V15" s="66"/>
      <c r="W15" s="66"/>
      <c r="X15" s="66"/>
      <c r="Y15" s="66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66"/>
      <c r="AM15" s="66"/>
      <c r="AN15" s="66"/>
      <c r="AO15" s="66"/>
      <c r="AP15" s="66"/>
      <c r="AQ15" s="60"/>
      <c r="AR15" s="60"/>
      <c r="AS15" s="60"/>
    </row>
    <row r="16" spans="1:45" ht="20" customHeight="1">
      <c r="A16" s="60"/>
      <c r="B16" s="118"/>
      <c r="C16" s="137"/>
      <c r="D16" s="200"/>
      <c r="E16" s="200"/>
      <c r="F16" s="200"/>
      <c r="G16" s="200"/>
      <c r="H16" s="200"/>
      <c r="I16" s="200"/>
      <c r="J16" s="200"/>
      <c r="K16" s="200"/>
      <c r="L16" s="200"/>
      <c r="M16" s="60"/>
      <c r="N16" s="143"/>
      <c r="O16" s="143"/>
      <c r="P16" s="143"/>
      <c r="Q16" s="143"/>
      <c r="R16" s="17"/>
      <c r="S16" s="17" t="s">
        <v>31</v>
      </c>
      <c r="T16" s="66"/>
      <c r="U16" s="66"/>
      <c r="V16" s="74" t="s">
        <v>14</v>
      </c>
      <c r="W16" s="74"/>
      <c r="X16" s="74"/>
      <c r="Y16" s="74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66"/>
      <c r="AM16" s="66"/>
      <c r="AN16" s="66"/>
      <c r="AO16" s="66"/>
      <c r="AP16" s="66"/>
      <c r="AQ16" s="60"/>
      <c r="AR16" s="60"/>
      <c r="AS16" s="60"/>
    </row>
    <row r="17" spans="1:45" ht="20" customHeight="1">
      <c r="A17" s="113"/>
      <c r="B17" s="118"/>
      <c r="C17" s="119"/>
      <c r="D17" s="119"/>
      <c r="E17" s="120"/>
      <c r="F17" s="120"/>
      <c r="G17" s="121"/>
      <c r="H17" s="102"/>
      <c r="I17" s="102"/>
      <c r="J17" s="102"/>
      <c r="K17" s="102"/>
      <c r="L17" s="102"/>
      <c r="M17" s="60"/>
      <c r="N17" s="142" t="s">
        <v>63</v>
      </c>
      <c r="O17" s="142"/>
      <c r="P17" s="142"/>
      <c r="Q17" s="142"/>
      <c r="R17" s="18" t="s">
        <v>61</v>
      </c>
      <c r="S17" s="18">
        <f>P9/12</f>
        <v>875</v>
      </c>
      <c r="T17" s="50">
        <f>S17/419.22</f>
        <v>2.0872095796956249</v>
      </c>
      <c r="U17" s="66"/>
      <c r="V17" s="66"/>
      <c r="W17" s="66"/>
      <c r="X17" s="66"/>
      <c r="Y17" s="66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66"/>
      <c r="AM17" s="66"/>
      <c r="AN17" s="66"/>
      <c r="AO17" s="66"/>
      <c r="AP17" s="66"/>
      <c r="AQ17" s="60"/>
      <c r="AR17" s="60"/>
      <c r="AS17" s="60"/>
    </row>
    <row r="18" spans="1:45" ht="21" customHeight="1">
      <c r="A18" s="60"/>
      <c r="B18" s="99">
        <v>2</v>
      </c>
      <c r="C18" s="122" t="s">
        <v>24</v>
      </c>
      <c r="D18" s="119"/>
      <c r="E18" s="120"/>
      <c r="F18" s="120"/>
      <c r="G18" s="121"/>
      <c r="H18" s="102"/>
      <c r="I18" s="123"/>
      <c r="J18" s="123"/>
      <c r="K18" s="123"/>
      <c r="L18" s="102"/>
      <c r="M18" s="61"/>
      <c r="N18" s="176"/>
      <c r="O18" s="176"/>
      <c r="P18" s="176"/>
      <c r="Q18" s="176"/>
      <c r="R18" s="66" t="s">
        <v>62</v>
      </c>
      <c r="S18" s="66"/>
      <c r="T18" s="66"/>
      <c r="U18" s="66"/>
      <c r="V18" s="66"/>
      <c r="W18" s="66"/>
      <c r="X18" s="66"/>
      <c r="Y18" s="66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66"/>
      <c r="AM18" s="66"/>
      <c r="AN18" s="66"/>
      <c r="AO18" s="66"/>
      <c r="AP18" s="66"/>
      <c r="AQ18" s="60"/>
      <c r="AR18" s="60"/>
      <c r="AS18" s="60"/>
    </row>
    <row r="19" spans="1:45" ht="20" customHeight="1">
      <c r="A19" s="60"/>
      <c r="B19" s="103"/>
      <c r="C19" s="112"/>
      <c r="D19" s="112"/>
      <c r="E19" s="112"/>
      <c r="F19" s="112"/>
      <c r="G19" s="112"/>
      <c r="H19" s="112"/>
      <c r="I19" s="112"/>
      <c r="J19" s="112"/>
      <c r="K19" s="112"/>
      <c r="L19" s="201"/>
      <c r="M19" s="61"/>
      <c r="N19" s="144" t="str">
        <f>IF(OR(C11="",C14=""),"",IF(P9&lt;5030.64,A35,IF(R36=2,"-",IF(R36=3,"-",INDEX(A35:G46,R33,1)))))</f>
        <v>Escalão 1</v>
      </c>
      <c r="O19" s="153"/>
      <c r="P19" s="146">
        <f>IF(OR(C11="",C14=""),"",IF(P9&lt;5030.64,T36,IF(R36=2,"-",IF(R36=3,"-",T33))))</f>
        <v>124.09</v>
      </c>
      <c r="Q19" s="145"/>
      <c r="R19" s="18"/>
      <c r="S19" s="18"/>
      <c r="T19" s="66"/>
      <c r="U19" s="66"/>
      <c r="V19" s="66"/>
      <c r="W19" s="66"/>
      <c r="X19" s="66"/>
      <c r="Y19" s="66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66"/>
      <c r="AM19" s="66"/>
      <c r="AN19" s="66"/>
      <c r="AO19" s="66"/>
      <c r="AP19" s="66"/>
      <c r="AQ19" s="60"/>
      <c r="AR19" s="60"/>
      <c r="AS19" s="60"/>
    </row>
    <row r="20" spans="1:45" ht="20" customHeight="1">
      <c r="A20" s="60"/>
      <c r="B20" s="107"/>
      <c r="C20" s="124" t="s">
        <v>37</v>
      </c>
      <c r="D20" s="124"/>
      <c r="E20" s="124"/>
      <c r="F20" s="109"/>
      <c r="G20" s="125"/>
      <c r="H20" s="125"/>
      <c r="I20" s="125"/>
      <c r="J20" s="125"/>
      <c r="K20" s="125"/>
      <c r="L20" s="202"/>
      <c r="M20" s="61"/>
      <c r="N20" s="144" t="str">
        <f>IF(OR(C11="",C14=""),"",IF(P9&lt;5030.64,A36,IF(R36=2,"-",IF(R36=3,A36,INDEX(A35:G46,R34,1)))))</f>
        <v>Escalão 2</v>
      </c>
      <c r="O20" s="154"/>
      <c r="P20" s="146">
        <f>IF(OR(C11="",C14=""),"",IF(P9&lt;5030.64,T37,IF(R36=2,"-",IF(R36=3,T34,T34))))</f>
        <v>186.13</v>
      </c>
      <c r="Q20" s="147"/>
      <c r="R20" s="66"/>
      <c r="S20" s="66"/>
      <c r="T20" s="66"/>
      <c r="U20" s="66"/>
      <c r="V20" s="66"/>
      <c r="W20" s="66"/>
      <c r="X20" s="66"/>
      <c r="Y20" s="66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66"/>
      <c r="AM20" s="66"/>
      <c r="AN20" s="66"/>
      <c r="AO20" s="66"/>
      <c r="AP20" s="66"/>
      <c r="AQ20" s="60"/>
      <c r="AR20" s="60"/>
      <c r="AS20" s="60"/>
    </row>
    <row r="21" spans="1:45" ht="20" customHeight="1">
      <c r="A21" s="60"/>
      <c r="B21" s="126"/>
      <c r="C21" s="203" t="s">
        <v>25</v>
      </c>
      <c r="D21" s="114"/>
      <c r="E21" s="127" t="s">
        <v>22</v>
      </c>
      <c r="F21" s="127"/>
      <c r="G21" s="127"/>
      <c r="H21" s="127"/>
      <c r="I21" s="127"/>
      <c r="J21" s="127"/>
      <c r="K21" s="127"/>
      <c r="L21" s="204"/>
      <c r="M21" s="61"/>
      <c r="N21" s="148" t="str">
        <f>IF(OR(C11="",C14=""),"",IF(P9&lt;5030.64,"-",INDEX(A35:G46,R36,1)))</f>
        <v>Escalão 3</v>
      </c>
      <c r="O21" s="155"/>
      <c r="P21" s="150">
        <f>IF(OR(C11="",C14=""),"",IF(P9&lt;5030.64,"-",T36))</f>
        <v>248.18</v>
      </c>
      <c r="Q21" s="149"/>
      <c r="R21" s="66"/>
      <c r="S21" s="66"/>
      <c r="T21" s="66"/>
      <c r="U21" s="66"/>
      <c r="V21" s="66"/>
      <c r="W21" s="66"/>
      <c r="X21" s="66"/>
      <c r="Y21" s="6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66"/>
      <c r="AM21" s="66"/>
      <c r="AN21" s="66"/>
      <c r="AO21" s="66"/>
      <c r="AP21" s="66"/>
      <c r="AQ21" s="60"/>
      <c r="AR21" s="60"/>
      <c r="AS21" s="60"/>
    </row>
    <row r="22" spans="1:45" ht="20" customHeight="1">
      <c r="A22" s="60"/>
      <c r="B22" s="125"/>
      <c r="C22" s="129">
        <v>15000</v>
      </c>
      <c r="D22" s="130"/>
      <c r="E22" s="126"/>
      <c r="F22" s="126"/>
      <c r="G22" s="126"/>
      <c r="H22" s="126"/>
      <c r="I22" s="129"/>
      <c r="J22" s="109"/>
      <c r="K22" s="109"/>
      <c r="L22" s="205"/>
      <c r="M22" s="62"/>
      <c r="N22" s="151" t="str">
        <f>IF(OR(C11="",C14=""),"",IF(P9&lt;5030.64,"-",INDEX(A35:G46,R37,1)))</f>
        <v>Escalão 4</v>
      </c>
      <c r="O22" s="155"/>
      <c r="P22" s="152">
        <f>IF(OR(C11="",C14=""),"",IF(P9&lt;5030.64,"-",T37))</f>
        <v>310.22000000000003</v>
      </c>
      <c r="Q22" s="149"/>
      <c r="R22" s="66"/>
      <c r="S22" s="66"/>
      <c r="T22" s="66"/>
      <c r="U22" s="66"/>
      <c r="V22" s="66"/>
      <c r="W22" s="66"/>
      <c r="X22" s="66"/>
      <c r="Y22" s="6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66"/>
      <c r="AM22" s="66"/>
      <c r="AN22" s="66"/>
      <c r="AO22" s="66"/>
      <c r="AP22" s="66"/>
      <c r="AQ22" s="60"/>
      <c r="AR22" s="60"/>
      <c r="AS22" s="60"/>
    </row>
    <row r="23" spans="1:45" ht="20" customHeight="1">
      <c r="A23" s="113"/>
      <c r="B23" s="125"/>
      <c r="C23" s="130"/>
      <c r="D23" s="130"/>
      <c r="E23" s="131"/>
      <c r="F23" s="131"/>
      <c r="G23" s="131"/>
      <c r="H23" s="131"/>
      <c r="I23" s="109"/>
      <c r="J23" s="206"/>
      <c r="K23" s="206"/>
      <c r="L23" s="205"/>
      <c r="M23" s="61"/>
      <c r="N23" s="151" t="str">
        <f>IF(OR(C11="",C14=""),"",IF(P9&lt;5030.64,"-",INDEX(A35:G46,R38,1)))</f>
        <v>Escalão 5</v>
      </c>
      <c r="O23" s="155"/>
      <c r="P23" s="152">
        <f>IF(OR(C11="",C14=""),"",IF(P9&lt;5030.64,"-",T38))</f>
        <v>372.27</v>
      </c>
      <c r="Q23" s="149"/>
      <c r="R23" s="51"/>
      <c r="S23" s="66"/>
      <c r="T23" s="66"/>
      <c r="U23" s="66"/>
      <c r="V23" s="66" t="s">
        <v>8</v>
      </c>
      <c r="W23" s="66" t="s">
        <v>8</v>
      </c>
      <c r="X23" s="66"/>
      <c r="Y23" s="66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66"/>
      <c r="AM23" s="66"/>
      <c r="AN23" s="66"/>
      <c r="AO23" s="66"/>
      <c r="AP23" s="66"/>
      <c r="AQ23" s="60"/>
      <c r="AR23" s="60"/>
      <c r="AS23" s="60"/>
    </row>
    <row r="24" spans="1:45" ht="20" customHeight="1">
      <c r="A24" s="60"/>
      <c r="B24" s="107"/>
      <c r="C24" s="125" t="s">
        <v>38</v>
      </c>
      <c r="D24" s="109"/>
      <c r="E24" s="206"/>
      <c r="F24" s="132"/>
      <c r="G24" s="133"/>
      <c r="H24" s="207"/>
      <c r="I24" s="125" t="str">
        <f>IF(C14="Sim","Lucro tributável?","")</f>
        <v/>
      </c>
      <c r="J24" s="128"/>
      <c r="K24" s="109"/>
      <c r="L24" s="205"/>
      <c r="M24" s="61"/>
      <c r="N24" s="164"/>
      <c r="O24" s="156"/>
      <c r="P24" s="157"/>
      <c r="Q24" s="156"/>
      <c r="R24" s="51"/>
      <c r="S24" s="66"/>
      <c r="T24" s="66"/>
      <c r="U24" s="66"/>
      <c r="V24" s="66" t="s">
        <v>11</v>
      </c>
      <c r="W24" s="66" t="s">
        <v>4</v>
      </c>
      <c r="X24" s="66"/>
      <c r="Y24" s="66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66"/>
      <c r="AM24" s="66"/>
      <c r="AN24" s="66"/>
      <c r="AO24" s="66"/>
      <c r="AP24" s="66"/>
      <c r="AQ24" s="60"/>
      <c r="AR24" s="60"/>
      <c r="AS24" s="60"/>
    </row>
    <row r="25" spans="1:45" ht="20" customHeight="1">
      <c r="A25" s="60"/>
      <c r="B25" s="112"/>
      <c r="C25" s="134"/>
      <c r="D25" s="135"/>
      <c r="E25" s="135"/>
      <c r="F25" s="135"/>
      <c r="G25" s="206"/>
      <c r="H25" s="206"/>
      <c r="I25" s="136"/>
      <c r="J25" s="206"/>
      <c r="K25" s="206"/>
      <c r="L25" s="201"/>
      <c r="M25" s="63"/>
      <c r="N25" s="143" t="str">
        <f>IF(P9&lt;2515.32,N39,N33)</f>
        <v>Se está a reiniciar atividade pode manter o mesmo valor de contribuição, se já tinha sido fixado no mês de outubro anterior à data de reinício</v>
      </c>
      <c r="O25" s="143"/>
      <c r="P25" s="143"/>
      <c r="Q25" s="143"/>
      <c r="R25" s="52"/>
      <c r="S25" s="66"/>
      <c r="T25" s="66"/>
      <c r="U25" s="66"/>
      <c r="V25" s="66" t="s">
        <v>12</v>
      </c>
      <c r="W25" s="66" t="s">
        <v>5</v>
      </c>
      <c r="X25" s="66"/>
      <c r="Y25" s="66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66"/>
      <c r="AM25" s="66"/>
      <c r="AN25" s="66"/>
      <c r="AO25" s="66"/>
      <c r="AP25" s="66"/>
      <c r="AQ25" s="60"/>
      <c r="AR25" s="60"/>
      <c r="AS25" s="60"/>
    </row>
    <row r="26" spans="1:45" ht="25" customHeight="1">
      <c r="A26" s="60"/>
      <c r="B26" s="112"/>
      <c r="C26" s="206"/>
      <c r="D26" s="206"/>
      <c r="E26" s="206"/>
      <c r="F26" s="206"/>
      <c r="G26" s="206"/>
      <c r="H26" s="206"/>
      <c r="I26" s="206"/>
      <c r="J26" s="206"/>
      <c r="K26" s="206"/>
      <c r="L26" s="201"/>
      <c r="M26" s="63"/>
      <c r="N26" s="143"/>
      <c r="O26" s="143"/>
      <c r="P26" s="143"/>
      <c r="Q26" s="143"/>
      <c r="R26" s="51"/>
      <c r="S26" s="66"/>
      <c r="T26" s="66"/>
      <c r="U26" s="66"/>
      <c r="V26" s="66"/>
      <c r="W26" s="66" t="s">
        <v>6</v>
      </c>
      <c r="X26" s="66"/>
      <c r="Y26" s="6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66"/>
      <c r="AM26" s="66"/>
      <c r="AN26" s="66"/>
      <c r="AO26" s="66"/>
      <c r="AP26" s="66"/>
      <c r="AQ26" s="60"/>
      <c r="AR26" s="60"/>
      <c r="AS26" s="60"/>
    </row>
    <row r="27" spans="1:45" ht="22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3"/>
      <c r="N27" s="177"/>
      <c r="O27" s="177"/>
      <c r="P27" s="177"/>
      <c r="Q27" s="177"/>
      <c r="R27" s="66"/>
      <c r="S27" s="66"/>
      <c r="T27" s="66"/>
      <c r="U27" s="66"/>
      <c r="V27" s="66"/>
      <c r="W27" s="66" t="s">
        <v>7</v>
      </c>
      <c r="X27" s="66"/>
      <c r="Y27" s="66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66"/>
      <c r="AM27" s="66"/>
      <c r="AN27" s="66"/>
      <c r="AO27" s="66"/>
      <c r="AP27" s="66"/>
      <c r="AQ27" s="60"/>
      <c r="AR27" s="60"/>
      <c r="AS27" s="60"/>
    </row>
    <row r="28" spans="1:45" ht="23" customHeight="1">
      <c r="A28" s="60"/>
      <c r="B28" s="69" t="s">
        <v>35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3"/>
      <c r="N28" s="63"/>
      <c r="O28" s="162"/>
      <c r="P28" s="162"/>
      <c r="Q28" s="162"/>
      <c r="R28" s="66"/>
      <c r="S28" s="66"/>
      <c r="T28" s="66"/>
      <c r="U28" s="66"/>
      <c r="V28" s="66"/>
      <c r="W28" s="66"/>
      <c r="X28" s="66"/>
      <c r="Y28" s="6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66"/>
      <c r="AM28" s="66"/>
      <c r="AN28" s="66"/>
      <c r="AO28" s="66"/>
      <c r="AP28" s="66"/>
      <c r="AQ28" s="60"/>
      <c r="AR28" s="60"/>
      <c r="AS28" s="60"/>
    </row>
    <row r="29" spans="1:45" ht="21" customHeight="1">
      <c r="A29" s="113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0"/>
      <c r="N29" s="63"/>
      <c r="O29" s="63"/>
      <c r="P29" s="63"/>
      <c r="Q29" s="163"/>
      <c r="R29" s="66"/>
      <c r="S29" s="66"/>
      <c r="T29" s="66"/>
      <c r="U29" s="66"/>
      <c r="V29" s="66"/>
      <c r="W29" s="66"/>
      <c r="X29" s="66"/>
      <c r="Y29" s="66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66"/>
      <c r="AM29" s="66"/>
      <c r="AN29" s="66"/>
      <c r="AO29" s="66"/>
      <c r="AP29" s="66"/>
      <c r="AQ29" s="60"/>
      <c r="AR29" s="60"/>
      <c r="AS29" s="60"/>
    </row>
    <row r="30" spans="1:45" ht="20" customHeight="1">
      <c r="A30" s="64"/>
      <c r="B30" s="208"/>
      <c r="C30" s="209"/>
      <c r="D30" s="52"/>
      <c r="E30" s="52"/>
      <c r="F30" s="102"/>
      <c r="G30" s="52"/>
      <c r="H30" s="52"/>
      <c r="I30" s="52"/>
      <c r="J30" s="52"/>
      <c r="K30" s="52"/>
      <c r="L30" s="52"/>
      <c r="M30" s="64"/>
      <c r="N30" s="185">
        <f>IF(OR(C11="",C14=""),"",INDEX(D37:G47,R36,1))</f>
        <v>1048.05</v>
      </c>
      <c r="O30" s="64"/>
      <c r="P30" s="186" t="s">
        <v>32</v>
      </c>
      <c r="Q30" s="187" t="str">
        <f>IF(OR(C11="",C14=""),"",INDEX(A35:G46,R36,1))</f>
        <v>Escalão 3</v>
      </c>
      <c r="R30" s="66"/>
      <c r="S30" s="66"/>
      <c r="T30" s="66"/>
      <c r="U30" s="66"/>
      <c r="V30" s="66"/>
      <c r="W30" s="66" t="s">
        <v>8</v>
      </c>
      <c r="X30" s="66"/>
      <c r="Y30" s="6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66"/>
      <c r="AM30" s="66"/>
      <c r="AN30" s="66"/>
      <c r="AO30" s="66"/>
      <c r="AP30" s="66"/>
      <c r="AQ30" s="60"/>
      <c r="AR30" s="60"/>
      <c r="AS30" s="60"/>
    </row>
    <row r="31" spans="1:45" ht="24" customHeight="1">
      <c r="A31" s="64"/>
      <c r="B31" s="52"/>
      <c r="C31" s="118"/>
      <c r="D31" s="52"/>
      <c r="E31" s="210"/>
      <c r="F31" s="210"/>
      <c r="G31" s="210"/>
      <c r="H31" s="210"/>
      <c r="I31" s="211"/>
      <c r="J31" s="52"/>
      <c r="K31" s="52"/>
      <c r="L31" s="52"/>
      <c r="M31" s="64"/>
      <c r="N31" s="64"/>
      <c r="O31" s="188"/>
      <c r="P31" s="189"/>
      <c r="Q31" s="186"/>
      <c r="R31" s="66"/>
      <c r="S31" s="66"/>
      <c r="T31" s="66"/>
      <c r="U31" s="66"/>
      <c r="V31" s="66"/>
      <c r="W31" s="66" t="s">
        <v>4</v>
      </c>
      <c r="X31" s="66"/>
      <c r="Y31" s="66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66"/>
      <c r="AM31" s="66"/>
      <c r="AN31" s="66"/>
      <c r="AO31" s="66"/>
      <c r="AP31" s="66"/>
      <c r="AQ31" s="60"/>
      <c r="AR31" s="60"/>
      <c r="AS31" s="60"/>
    </row>
    <row r="32" spans="1:45" ht="20" customHeight="1">
      <c r="A32" s="6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64"/>
      <c r="N32" s="178" t="s">
        <v>39</v>
      </c>
      <c r="O32" s="178"/>
      <c r="P32" s="178"/>
      <c r="Q32" s="178"/>
      <c r="R32" s="66"/>
      <c r="S32" s="66"/>
      <c r="T32" s="66"/>
      <c r="U32" s="66"/>
      <c r="V32" s="66"/>
      <c r="W32" s="66" t="s">
        <v>5</v>
      </c>
      <c r="X32" s="66"/>
      <c r="Y32" s="6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66"/>
      <c r="AM32" s="66"/>
      <c r="AN32" s="66"/>
      <c r="AO32" s="66"/>
      <c r="AP32" s="66"/>
      <c r="AQ32" s="60"/>
      <c r="AR32" s="60"/>
      <c r="AS32" s="60"/>
    </row>
    <row r="33" spans="1:45" ht="20" customHeight="1">
      <c r="A33" s="212"/>
      <c r="B33" s="64"/>
      <c r="C33" s="179"/>
      <c r="D33" s="213"/>
      <c r="E33" s="179"/>
      <c r="F33" s="179"/>
      <c r="G33" s="179"/>
      <c r="H33" s="179"/>
      <c r="I33" s="179"/>
      <c r="J33" s="179"/>
      <c r="K33" s="179"/>
      <c r="L33" s="179"/>
      <c r="M33" s="179"/>
      <c r="N33" s="180" t="s">
        <v>65</v>
      </c>
      <c r="O33" s="180"/>
      <c r="P33" s="180"/>
      <c r="Q33" s="180"/>
      <c r="R33" s="64">
        <f>R36-2</f>
        <v>2</v>
      </c>
      <c r="S33" s="64">
        <f>S34</f>
        <v>2</v>
      </c>
      <c r="T33" s="64">
        <f>INDEX(D36:G47,R33,S33)</f>
        <v>124.09</v>
      </c>
      <c r="U33" s="66"/>
      <c r="V33" s="21"/>
      <c r="W33" s="66" t="s">
        <v>9</v>
      </c>
      <c r="X33" s="66"/>
      <c r="Y33" s="66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66"/>
      <c r="AM33" s="66"/>
      <c r="AN33" s="66"/>
      <c r="AO33" s="66"/>
      <c r="AP33" s="66"/>
      <c r="AQ33" s="60"/>
      <c r="AR33" s="60"/>
      <c r="AS33" s="60"/>
    </row>
    <row r="34" spans="1:45" ht="20" customHeight="1">
      <c r="A34" s="212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179"/>
      <c r="N34" s="180"/>
      <c r="O34" s="180"/>
      <c r="P34" s="180"/>
      <c r="Q34" s="180"/>
      <c r="R34" s="64">
        <f>R36-1</f>
        <v>3</v>
      </c>
      <c r="S34" s="64">
        <f>S36</f>
        <v>2</v>
      </c>
      <c r="T34" s="194">
        <f>INDEX(D36:G47,R34,S34)</f>
        <v>186.13</v>
      </c>
      <c r="U34" s="66"/>
      <c r="V34" s="21"/>
      <c r="W34" s="66" t="s">
        <v>10</v>
      </c>
      <c r="X34" s="66"/>
      <c r="Y34" s="6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66"/>
      <c r="AM34" s="66"/>
      <c r="AN34" s="66"/>
      <c r="AO34" s="66"/>
      <c r="AP34" s="66"/>
      <c r="AQ34" s="60"/>
      <c r="AR34" s="60"/>
      <c r="AS34" s="60"/>
    </row>
    <row r="35" spans="1:45" ht="20" customHeight="1">
      <c r="A35" s="64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39"/>
      <c r="N35" s="181" t="s">
        <v>66</v>
      </c>
      <c r="O35" s="181"/>
      <c r="P35" s="181"/>
      <c r="Q35" s="181"/>
      <c r="R35" s="64" t="s">
        <v>28</v>
      </c>
      <c r="S35" s="64" t="s">
        <v>29</v>
      </c>
      <c r="T35" s="64" t="s">
        <v>30</v>
      </c>
      <c r="U35" s="66"/>
      <c r="V35" s="21"/>
      <c r="W35" s="66"/>
      <c r="X35" s="66"/>
      <c r="Y35" s="66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66"/>
      <c r="AM35" s="66"/>
      <c r="AN35" s="66"/>
      <c r="AO35" s="66"/>
      <c r="AP35" s="66"/>
      <c r="AQ35" s="60"/>
      <c r="AR35" s="60"/>
      <c r="AS35" s="60"/>
    </row>
    <row r="36" spans="1:45">
      <c r="A36" s="64" t="s">
        <v>48</v>
      </c>
      <c r="B36" s="64">
        <v>1</v>
      </c>
      <c r="C36" s="214" t="str">
        <f>IF(D36-$S$17&lt;0,"",D36-$S$17)</f>
        <v/>
      </c>
      <c r="D36" s="194">
        <f>419.22/2</f>
        <v>209.61</v>
      </c>
      <c r="E36" s="64">
        <f>MAX(D36*0.296,62.04)</f>
        <v>62.044560000000004</v>
      </c>
      <c r="F36" s="64">
        <f>MAX(D36*0.283,59.32)</f>
        <v>59.32</v>
      </c>
      <c r="G36" s="64">
        <f>MAX(D36*0.3475,72.84)</f>
        <v>72.84</v>
      </c>
      <c r="H36" s="64"/>
      <c r="I36" s="64"/>
      <c r="J36" s="64"/>
      <c r="K36" s="64"/>
      <c r="L36" s="64"/>
      <c r="M36" s="64"/>
      <c r="N36" s="181"/>
      <c r="O36" s="181"/>
      <c r="P36" s="181"/>
      <c r="Q36" s="181"/>
      <c r="R36" s="64">
        <f>IF(P9&lt;5030.64,1,IF(SUM(C37:C47)=0,B47,IF(LOOKUP(MIN(C37:C47),C37:C47,B37:B47)&gt;1,LOOKUP(MIN(C37:C47),C37:C47,B37:B47)-1,IF(LOOKUP(MIN(C37:C47),C37:C47,B37:B47)&lt;=1,LOOKUP(MIN(C37:C47),C37:C47,B37:B47)))))</f>
        <v>4</v>
      </c>
      <c r="S36" s="64">
        <f>IF(C11="Prestadores de serviços",2,IF(C11="Empresários em nome individual com rendimentos exclusivos de atividade comercial ou industrial",4,IF(C11="Produtores agrícolas com rendimentos exclusivos da agricultura",3,IF(C11="Titulares de estabelecimento individual de responsabilidade limitada (EIRL)",4))))</f>
        <v>2</v>
      </c>
      <c r="T36" s="64">
        <f>INDEX(D36:G47,R36,S36)</f>
        <v>248.18</v>
      </c>
      <c r="U36" s="66"/>
      <c r="V36" s="21"/>
      <c r="W36" s="66"/>
      <c r="X36" s="66"/>
      <c r="Y36" s="6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66"/>
      <c r="AM36" s="66"/>
      <c r="AN36" s="66"/>
      <c r="AO36" s="66"/>
      <c r="AP36" s="66"/>
      <c r="AQ36" s="60"/>
      <c r="AR36" s="60"/>
      <c r="AS36" s="60"/>
    </row>
    <row r="37" spans="1:45">
      <c r="A37" s="64" t="s">
        <v>49</v>
      </c>
      <c r="B37" s="215">
        <v>2</v>
      </c>
      <c r="C37" s="214" t="str">
        <f>IF(D37-$S$17&lt;0,"",D37-$S$17)</f>
        <v/>
      </c>
      <c r="D37" s="216">
        <v>419.22</v>
      </c>
      <c r="E37" s="216">
        <v>124.09</v>
      </c>
      <c r="F37" s="216">
        <v>118.64</v>
      </c>
      <c r="G37" s="216">
        <v>145.68</v>
      </c>
      <c r="H37" s="64"/>
      <c r="I37" s="64"/>
      <c r="J37" s="64"/>
      <c r="K37" s="64" t="str">
        <f>IF(C11="Prestadores de serviços","tind",IF(C11="Empresários em nome individual com rendimentos exclusivos de atividade comercial ou industrial","eirl",IF(C11="Produtores agrícolas com rendimentos exclusivos da agricultura","agric",IF(C11="Titulares de estabelecimento individual de responsabilidade limitada (EIRL)","eirl"))))</f>
        <v>tind</v>
      </c>
      <c r="L37" s="64"/>
      <c r="M37" s="64"/>
      <c r="N37" s="182"/>
      <c r="O37" s="182"/>
      <c r="P37" s="182"/>
      <c r="Q37" s="182"/>
      <c r="R37" s="64">
        <f>R36+1</f>
        <v>5</v>
      </c>
      <c r="S37" s="64"/>
      <c r="T37" s="64">
        <f>INDEX(D36:G47,R37,S36)</f>
        <v>310.22000000000003</v>
      </c>
      <c r="U37" s="66"/>
      <c r="V37" s="21"/>
      <c r="W37" s="19" t="s">
        <v>13</v>
      </c>
      <c r="X37" s="66">
        <v>1</v>
      </c>
      <c r="Y37" s="66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66"/>
      <c r="AM37" s="66"/>
      <c r="AN37" s="66"/>
      <c r="AO37" s="66"/>
      <c r="AP37" s="66"/>
      <c r="AQ37" s="60"/>
      <c r="AR37" s="60"/>
      <c r="AS37" s="60"/>
    </row>
    <row r="38" spans="1:45">
      <c r="A38" s="64" t="s">
        <v>50</v>
      </c>
      <c r="B38" s="215">
        <v>3</v>
      </c>
      <c r="C38" s="214" t="str">
        <f>IF(D38-$S$17&lt;0,"",D38-$S$17)</f>
        <v/>
      </c>
      <c r="D38" s="216">
        <v>628.83000000000004</v>
      </c>
      <c r="E38" s="216">
        <v>186.13</v>
      </c>
      <c r="F38" s="216">
        <v>177.96</v>
      </c>
      <c r="G38" s="216">
        <v>218.52</v>
      </c>
      <c r="H38" s="64"/>
      <c r="I38" s="64"/>
      <c r="J38" s="64"/>
      <c r="K38" s="64"/>
      <c r="L38" s="64"/>
      <c r="M38" s="64"/>
      <c r="N38" s="182"/>
      <c r="O38" s="182"/>
      <c r="P38" s="182"/>
      <c r="Q38" s="182"/>
      <c r="R38" s="138">
        <f>R36+2</f>
        <v>6</v>
      </c>
      <c r="S38" s="138"/>
      <c r="T38" s="138">
        <f>INDEX(D36:G47,R38,S36)</f>
        <v>372.27</v>
      </c>
      <c r="U38" s="66"/>
      <c r="V38" s="21"/>
      <c r="W38" s="66"/>
      <c r="X38" s="66"/>
      <c r="Y38" s="66"/>
      <c r="Z38" s="21"/>
      <c r="AA38" s="21"/>
      <c r="AB38" s="66"/>
      <c r="AC38" s="66"/>
      <c r="AD38" s="66"/>
      <c r="AE38" s="66"/>
      <c r="AF38" s="66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ht="56">
      <c r="A39" s="64" t="s">
        <v>51</v>
      </c>
      <c r="B39" s="215">
        <v>4</v>
      </c>
      <c r="C39" s="214" t="str">
        <f>IF(D39-$S$17&lt;0,"",D39-$S$17)</f>
        <v/>
      </c>
      <c r="D39" s="216">
        <v>838.44</v>
      </c>
      <c r="E39" s="216">
        <v>248.18</v>
      </c>
      <c r="F39" s="216">
        <v>237.28</v>
      </c>
      <c r="G39" s="216">
        <v>291.36</v>
      </c>
      <c r="H39" s="64"/>
      <c r="I39" s="64"/>
      <c r="J39" s="64"/>
      <c r="K39" s="64"/>
      <c r="L39" s="64"/>
      <c r="M39" s="64"/>
      <c r="N39" s="182" t="s">
        <v>64</v>
      </c>
      <c r="O39" s="182"/>
      <c r="P39" s="182"/>
      <c r="Q39" s="182"/>
      <c r="R39" s="64" t="e">
        <f>IF(C11="Prestadores de serviços",LOOKUP(I31,tind,B37:B47),IF(C11="Empresários em nome individual com rendimentos exclusivos de atividade comercial ou industrial",LOOKUP(I31,eirl,B37:B47),IF(C11="Produtores agrícolas com rendimentos exclusivos da agricultura",LOOKUP(I31,agric,B37:B47),IF(C11="Titulares de estabelecimento individual de responsabilidade limitada (EIRL)",LOOKUP(I31,eirl,B37:B47)))))</f>
        <v>#N/A</v>
      </c>
      <c r="S39" s="64"/>
      <c r="T39" s="64" t="e">
        <f>INDEX(D37:G47,R39+1,S36)</f>
        <v>#N/A</v>
      </c>
      <c r="U39" s="66"/>
      <c r="V39" s="21"/>
      <c r="W39" s="66"/>
      <c r="X39" s="66"/>
      <c r="Y39" s="66"/>
      <c r="Z39" s="21"/>
      <c r="AA39" s="21"/>
      <c r="AB39" s="66"/>
      <c r="AC39" s="66"/>
      <c r="AD39" s="66"/>
      <c r="AE39" s="66"/>
      <c r="AF39" s="66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>
      <c r="A40" s="64" t="s">
        <v>52</v>
      </c>
      <c r="B40" s="215">
        <v>5</v>
      </c>
      <c r="C40" s="214">
        <f t="shared" ref="C40:C47" si="0">IF(D40-$S$17&lt;0,"",D40-$S$17)</f>
        <v>173.04999999999995</v>
      </c>
      <c r="D40" s="216">
        <v>1048.05</v>
      </c>
      <c r="E40" s="216">
        <v>310.22000000000003</v>
      </c>
      <c r="F40" s="216">
        <v>296.60000000000002</v>
      </c>
      <c r="G40" s="216">
        <v>364.2</v>
      </c>
      <c r="H40" s="64"/>
      <c r="I40" s="64"/>
      <c r="J40" s="64"/>
      <c r="K40" s="64"/>
      <c r="L40" s="64"/>
      <c r="M40" s="64"/>
      <c r="N40" s="183"/>
      <c r="O40" s="183"/>
      <c r="P40" s="183"/>
      <c r="Q40" s="183"/>
      <c r="R40" s="64"/>
      <c r="S40" s="64"/>
      <c r="T40" s="64"/>
      <c r="U40" s="66"/>
      <c r="V40" s="21"/>
      <c r="W40" s="66"/>
      <c r="X40" s="66"/>
      <c r="Y40" s="66"/>
      <c r="Z40" s="21"/>
      <c r="AA40" s="21"/>
      <c r="AB40" s="66"/>
      <c r="AC40" s="66"/>
      <c r="AD40" s="66"/>
      <c r="AE40" s="66"/>
      <c r="AF40" s="66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>
      <c r="A41" s="64" t="s">
        <v>53</v>
      </c>
      <c r="B41" s="215">
        <v>6</v>
      </c>
      <c r="C41" s="214">
        <f t="shared" si="0"/>
        <v>382.66000000000008</v>
      </c>
      <c r="D41" s="216">
        <v>1257.6600000000001</v>
      </c>
      <c r="E41" s="216">
        <v>372.27</v>
      </c>
      <c r="F41" s="216">
        <v>355.92</v>
      </c>
      <c r="G41" s="216">
        <v>437.04</v>
      </c>
      <c r="H41" s="64"/>
      <c r="I41" s="64"/>
      <c r="J41" s="64"/>
      <c r="K41" s="64"/>
      <c r="L41" s="64"/>
      <c r="M41" s="64"/>
      <c r="N41" s="65"/>
      <c r="O41" s="65"/>
      <c r="P41" s="65"/>
      <c r="Q41" s="65"/>
      <c r="R41" s="64"/>
      <c r="S41" s="64"/>
      <c r="T41" s="64"/>
      <c r="U41" s="66"/>
      <c r="V41" s="21"/>
      <c r="W41" s="66"/>
      <c r="X41" s="66"/>
      <c r="Y41" s="66"/>
      <c r="Z41" s="21"/>
      <c r="AA41" s="21"/>
      <c r="AB41" s="66"/>
      <c r="AC41" s="66"/>
      <c r="AD41" s="66"/>
      <c r="AE41" s="66"/>
      <c r="AF41" s="66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>
      <c r="A42" s="64" t="s">
        <v>54</v>
      </c>
      <c r="B42" s="215">
        <v>7</v>
      </c>
      <c r="C42" s="214">
        <f t="shared" si="0"/>
        <v>801.88000000000011</v>
      </c>
      <c r="D42" s="216">
        <v>1676.88</v>
      </c>
      <c r="E42" s="216">
        <v>496.36</v>
      </c>
      <c r="F42" s="216">
        <v>474.56</v>
      </c>
      <c r="G42" s="216">
        <v>582.72</v>
      </c>
      <c r="H42" s="64"/>
      <c r="I42" s="64"/>
      <c r="J42" s="64"/>
      <c r="K42" s="64"/>
      <c r="L42" s="64"/>
      <c r="M42" s="193"/>
      <c r="N42" s="64"/>
      <c r="O42" s="64"/>
      <c r="P42" s="64"/>
      <c r="Q42" s="64"/>
      <c r="R42" s="67"/>
      <c r="S42" s="67"/>
      <c r="T42" s="67"/>
      <c r="U42" s="21"/>
      <c r="V42" s="21"/>
      <c r="W42" s="66"/>
      <c r="X42" s="66"/>
      <c r="Y42" s="66"/>
      <c r="Z42" s="21"/>
      <c r="AA42" s="21"/>
      <c r="AB42" s="66"/>
      <c r="AC42" s="66"/>
      <c r="AD42" s="66"/>
      <c r="AE42" s="66"/>
      <c r="AF42" s="66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>
      <c r="A43" s="64" t="s">
        <v>55</v>
      </c>
      <c r="B43" s="215">
        <v>8</v>
      </c>
      <c r="C43" s="214">
        <f t="shared" si="0"/>
        <v>1221.0999999999999</v>
      </c>
      <c r="D43" s="216">
        <v>2096.1</v>
      </c>
      <c r="E43" s="216">
        <v>620.45000000000005</v>
      </c>
      <c r="F43" s="216">
        <v>593.20000000000005</v>
      </c>
      <c r="G43" s="216">
        <v>728.39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7"/>
      <c r="S43" s="67"/>
      <c r="T43" s="67"/>
      <c r="U43" s="21"/>
      <c r="V43" s="21"/>
      <c r="W43" s="66"/>
      <c r="X43" s="66"/>
      <c r="Y43" s="66"/>
      <c r="Z43" s="21"/>
      <c r="AA43" s="21"/>
      <c r="AB43" s="66"/>
      <c r="AC43" s="66"/>
      <c r="AD43" s="66"/>
      <c r="AE43" s="66"/>
      <c r="AF43" s="66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>
      <c r="A44" s="64" t="s">
        <v>56</v>
      </c>
      <c r="B44" s="215">
        <v>9</v>
      </c>
      <c r="C44" s="214">
        <f t="shared" si="0"/>
        <v>1640.3200000000002</v>
      </c>
      <c r="D44" s="216">
        <v>2515.3200000000002</v>
      </c>
      <c r="E44" s="216">
        <v>744.53</v>
      </c>
      <c r="F44" s="216">
        <v>711.84</v>
      </c>
      <c r="G44" s="216">
        <v>874.07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1"/>
      <c r="S44" s="21"/>
      <c r="T44" s="21"/>
      <c r="U44" s="21"/>
      <c r="V44" s="21"/>
      <c r="W44" s="66"/>
      <c r="X44" s="66"/>
      <c r="Y44" s="66"/>
      <c r="Z44" s="21"/>
      <c r="AA44" s="21"/>
      <c r="AB44" s="66"/>
      <c r="AC44" s="66"/>
      <c r="AD44" s="66"/>
      <c r="AE44" s="66"/>
      <c r="AF44" s="66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>
      <c r="A45" s="64" t="s">
        <v>57</v>
      </c>
      <c r="B45" s="215">
        <v>10</v>
      </c>
      <c r="C45" s="214">
        <f t="shared" si="0"/>
        <v>2478.7600000000002</v>
      </c>
      <c r="D45" s="216">
        <v>3353.76</v>
      </c>
      <c r="E45" s="216">
        <v>992.71</v>
      </c>
      <c r="F45" s="216">
        <v>949.11</v>
      </c>
      <c r="G45" s="216">
        <v>1165.43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21"/>
      <c r="S45" s="21"/>
      <c r="T45" s="21"/>
      <c r="U45" s="21"/>
      <c r="V45" s="21"/>
      <c r="W45" s="66"/>
      <c r="X45" s="66"/>
      <c r="Y45" s="66"/>
      <c r="Z45" s="21"/>
      <c r="AA45" s="21"/>
      <c r="AB45" s="66"/>
      <c r="AC45" s="66"/>
      <c r="AD45" s="66"/>
      <c r="AE45" s="66"/>
      <c r="AF45" s="66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>
      <c r="A46" s="64" t="s">
        <v>58</v>
      </c>
      <c r="B46" s="215">
        <v>11</v>
      </c>
      <c r="C46" s="214">
        <f t="shared" si="0"/>
        <v>3317.2</v>
      </c>
      <c r="D46" s="216">
        <v>4192.2</v>
      </c>
      <c r="E46" s="216">
        <v>1240.8900000000001</v>
      </c>
      <c r="F46" s="216">
        <v>1186.3900000000001</v>
      </c>
      <c r="G46" s="216">
        <v>1456.79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21"/>
      <c r="S46" s="21"/>
      <c r="T46" s="21"/>
      <c r="U46" s="21"/>
      <c r="V46" s="21"/>
      <c r="W46" s="66"/>
      <c r="X46" s="66"/>
      <c r="Y46" s="66"/>
      <c r="Z46" s="21"/>
      <c r="AA46" s="21"/>
      <c r="AB46" s="66"/>
      <c r="AC46" s="66"/>
      <c r="AD46" s="66"/>
      <c r="AE46" s="66"/>
      <c r="AF46" s="66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>
      <c r="A47" s="64"/>
      <c r="B47" s="215">
        <v>12</v>
      </c>
      <c r="C47" s="214">
        <f t="shared" si="0"/>
        <v>4155.6400000000003</v>
      </c>
      <c r="D47" s="216">
        <v>5030.6400000000003</v>
      </c>
      <c r="E47" s="216">
        <v>1489.07</v>
      </c>
      <c r="F47" s="216">
        <v>1423.67</v>
      </c>
      <c r="G47" s="216">
        <v>1748.15</v>
      </c>
      <c r="H47" s="64"/>
      <c r="I47" s="64"/>
      <c r="J47" s="64"/>
      <c r="K47" s="64"/>
      <c r="L47" s="64"/>
      <c r="M47" s="64"/>
      <c r="N47" s="64"/>
      <c r="O47" s="64"/>
      <c r="P47" s="64">
        <f>MAX(INDEX(D36:G47,3,S36),T36)</f>
        <v>248.18</v>
      </c>
      <c r="Q47" s="64"/>
      <c r="R47" s="21"/>
      <c r="S47" s="21"/>
      <c r="T47" s="21"/>
      <c r="U47" s="21"/>
      <c r="V47" s="21"/>
      <c r="W47" s="66"/>
      <c r="X47" s="66"/>
      <c r="Y47" s="66"/>
      <c r="Z47" s="21"/>
      <c r="AA47" s="21"/>
      <c r="AB47" s="66"/>
      <c r="AC47" s="66"/>
      <c r="AD47" s="66"/>
      <c r="AE47" s="66"/>
      <c r="AF47" s="66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21"/>
      <c r="S48" s="21"/>
      <c r="T48" s="21"/>
      <c r="U48" s="21"/>
      <c r="V48" s="21"/>
      <c r="W48" s="66"/>
      <c r="X48" s="66"/>
      <c r="Y48" s="66"/>
      <c r="Z48" s="21"/>
      <c r="AA48" s="21"/>
      <c r="AB48" s="66"/>
      <c r="AC48" s="66"/>
      <c r="AD48" s="66"/>
      <c r="AE48" s="66"/>
      <c r="AF48" s="66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6"/>
      <c r="S49" s="66"/>
      <c r="T49" s="66"/>
      <c r="U49" s="66"/>
      <c r="V49" s="66"/>
      <c r="W49" s="66"/>
      <c r="X49" s="66"/>
      <c r="Y49" s="6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66"/>
      <c r="AM49" s="66"/>
      <c r="AN49" s="66"/>
      <c r="AO49" s="66"/>
      <c r="AP49" s="66"/>
      <c r="AQ49" s="60"/>
      <c r="AR49" s="60"/>
      <c r="AS49" s="60"/>
    </row>
    <row r="50" spans="1:45">
      <c r="A50" s="64"/>
      <c r="B50" s="64"/>
      <c r="C50" s="64"/>
      <c r="D50" s="64"/>
      <c r="E50" s="64"/>
      <c r="F50" s="64"/>
      <c r="G50" s="64"/>
      <c r="H50" s="64"/>
      <c r="I50" s="216"/>
      <c r="J50" s="64"/>
      <c r="K50" s="64"/>
      <c r="L50" s="64"/>
      <c r="M50" s="64"/>
      <c r="N50" s="64"/>
      <c r="O50" s="64"/>
      <c r="P50" s="64"/>
      <c r="Q50" s="64"/>
      <c r="R50" s="66"/>
      <c r="S50" s="66"/>
      <c r="T50" s="66"/>
      <c r="U50" s="66"/>
      <c r="V50" s="66"/>
      <c r="W50" s="66"/>
      <c r="X50" s="66"/>
      <c r="Y50" s="6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66"/>
      <c r="AM50" s="66"/>
      <c r="AN50" s="66"/>
      <c r="AO50" s="66"/>
      <c r="AP50" s="66"/>
      <c r="AQ50" s="60"/>
      <c r="AR50" s="60"/>
      <c r="AS50" s="60"/>
    </row>
    <row r="51" spans="1:45">
      <c r="A51" s="60"/>
      <c r="B51" s="64"/>
      <c r="C51" s="64"/>
      <c r="D51" s="64"/>
      <c r="E51" s="64"/>
      <c r="F51" s="64"/>
      <c r="G51" s="64"/>
      <c r="H51" s="64"/>
      <c r="I51" s="216"/>
      <c r="J51" s="64"/>
      <c r="K51" s="64"/>
      <c r="L51" s="64"/>
      <c r="M51" s="64"/>
      <c r="N51" s="64"/>
      <c r="O51" s="64"/>
      <c r="P51" s="64"/>
      <c r="Q51" s="64"/>
      <c r="R51" s="66"/>
      <c r="S51" s="66"/>
      <c r="T51" s="66"/>
      <c r="U51" s="66"/>
      <c r="V51" s="66"/>
      <c r="W51" s="66"/>
      <c r="X51" s="66"/>
      <c r="Y51" s="6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66"/>
      <c r="AM51" s="66"/>
      <c r="AN51" s="66"/>
      <c r="AO51" s="66"/>
      <c r="AP51" s="66"/>
      <c r="AQ51" s="60"/>
      <c r="AR51" s="60"/>
      <c r="AS51" s="60"/>
    </row>
    <row r="52" spans="1:45">
      <c r="A52" s="60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21"/>
      <c r="O52" s="21"/>
      <c r="P52" s="21"/>
      <c r="Q52" s="21"/>
      <c r="R52" s="66"/>
      <c r="S52" s="66"/>
      <c r="T52" s="66"/>
      <c r="U52" s="66"/>
      <c r="V52" s="66"/>
      <c r="W52" s="66"/>
      <c r="X52" s="66"/>
      <c r="Y52" s="6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66"/>
      <c r="AM52" s="66"/>
      <c r="AN52" s="66"/>
      <c r="AO52" s="66"/>
      <c r="AP52" s="66"/>
      <c r="AQ52" s="60"/>
      <c r="AR52" s="60"/>
      <c r="AS52" s="60"/>
    </row>
    <row r="53" spans="1:45">
      <c r="A53" s="60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60"/>
      <c r="N53" s="21"/>
      <c r="O53" s="21"/>
      <c r="P53" s="21"/>
      <c r="Q53" s="21"/>
      <c r="R53" s="66"/>
      <c r="S53" s="66"/>
      <c r="T53" s="66"/>
      <c r="U53" s="66"/>
      <c r="V53" s="66"/>
      <c r="W53" s="66"/>
      <c r="X53" s="66"/>
      <c r="Y53" s="6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66"/>
      <c r="AM53" s="66"/>
      <c r="AN53" s="66"/>
      <c r="AO53" s="66"/>
      <c r="AP53" s="66"/>
      <c r="AQ53" s="60"/>
      <c r="AR53" s="60"/>
      <c r="AS53" s="60"/>
    </row>
    <row r="54" spans="1:4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21"/>
      <c r="O54" s="21"/>
      <c r="P54" s="21"/>
      <c r="Q54" s="21"/>
      <c r="R54" s="66"/>
      <c r="S54" s="66"/>
      <c r="T54" s="66"/>
      <c r="U54" s="66"/>
      <c r="V54" s="66"/>
      <c r="W54" s="66"/>
      <c r="X54" s="66"/>
      <c r="Y54" s="6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66"/>
      <c r="AM54" s="66"/>
      <c r="AN54" s="66"/>
      <c r="AO54" s="66"/>
      <c r="AP54" s="66"/>
      <c r="AQ54" s="60"/>
      <c r="AR54" s="60"/>
      <c r="AS54" s="60"/>
    </row>
    <row r="55" spans="1:4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21"/>
      <c r="O55" s="66"/>
      <c r="P55" s="66"/>
      <c r="Q55" s="66"/>
      <c r="R55" s="21"/>
      <c r="S55" s="21"/>
      <c r="T55" s="21"/>
      <c r="U55" s="21"/>
      <c r="V55" s="22"/>
      <c r="W55" s="22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66"/>
      <c r="AM55" s="66"/>
      <c r="AN55" s="66"/>
      <c r="AO55" s="66"/>
      <c r="AP55" s="66"/>
      <c r="AQ55" s="60"/>
      <c r="AR55" s="60"/>
      <c r="AS55" s="60"/>
    </row>
    <row r="56" spans="1:4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21"/>
      <c r="O56" s="66"/>
      <c r="P56" s="66"/>
      <c r="Q56" s="66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66"/>
      <c r="AM56" s="66"/>
      <c r="AN56" s="66"/>
      <c r="AO56" s="66"/>
      <c r="AP56" s="66"/>
      <c r="AQ56" s="60"/>
      <c r="AR56" s="60"/>
      <c r="AS56" s="60"/>
    </row>
    <row r="57" spans="1:4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21"/>
      <c r="O57" s="138"/>
      <c r="P57" s="138"/>
      <c r="Q57" s="138"/>
      <c r="R57" s="21"/>
      <c r="S57" s="21"/>
      <c r="T57" s="21"/>
      <c r="U57" s="21"/>
      <c r="V57" s="22"/>
      <c r="W57" s="22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66"/>
      <c r="AM57" s="66"/>
      <c r="AN57" s="66"/>
      <c r="AO57" s="66"/>
      <c r="AP57" s="66"/>
      <c r="AQ57" s="60"/>
      <c r="AR57" s="60"/>
      <c r="AS57" s="60"/>
    </row>
    <row r="58" spans="1:4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140"/>
      <c r="O58" s="138"/>
      <c r="P58" s="138"/>
      <c r="Q58" s="138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66"/>
      <c r="AM58" s="66"/>
      <c r="AN58" s="66"/>
      <c r="AO58" s="66"/>
      <c r="AP58" s="66"/>
      <c r="AQ58" s="60"/>
      <c r="AR58" s="60"/>
      <c r="AS58" s="60"/>
    </row>
    <row r="59" spans="1:4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140"/>
      <c r="O59" s="138"/>
      <c r="P59" s="138"/>
      <c r="Q59" s="138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66"/>
      <c r="AM59" s="66"/>
      <c r="AN59" s="66"/>
      <c r="AO59" s="66"/>
      <c r="AP59" s="66"/>
      <c r="AQ59" s="60"/>
      <c r="AR59" s="60"/>
      <c r="AS59" s="60"/>
    </row>
    <row r="60" spans="1:4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140"/>
      <c r="O60" s="138"/>
      <c r="P60" s="138"/>
      <c r="Q60" s="13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66"/>
      <c r="AM60" s="66"/>
      <c r="AN60" s="66"/>
      <c r="AO60" s="66"/>
      <c r="AP60" s="66"/>
      <c r="AQ60" s="60"/>
      <c r="AR60" s="60"/>
      <c r="AS60" s="60"/>
    </row>
    <row r="61" spans="1:4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140"/>
      <c r="O61" s="138"/>
      <c r="P61" s="138"/>
      <c r="Q61" s="13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66"/>
      <c r="AM61" s="66"/>
      <c r="AN61" s="66"/>
      <c r="AO61" s="66"/>
      <c r="AP61" s="66"/>
      <c r="AQ61" s="60"/>
      <c r="AR61" s="60"/>
      <c r="AS61" s="60"/>
    </row>
    <row r="62" spans="1:4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138"/>
      <c r="O62" s="138"/>
      <c r="P62" s="138"/>
      <c r="Q62" s="13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66"/>
      <c r="AM62" s="66"/>
      <c r="AN62" s="66"/>
      <c r="AO62" s="66"/>
      <c r="AP62" s="66"/>
      <c r="AQ62" s="60"/>
      <c r="AR62" s="60"/>
      <c r="AS62" s="60"/>
    </row>
    <row r="63" spans="1:4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21"/>
      <c r="S63" s="21"/>
      <c r="T63" s="21"/>
      <c r="U63" s="21"/>
      <c r="V63" s="22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66"/>
      <c r="AM63" s="66"/>
      <c r="AN63" s="66"/>
      <c r="AO63" s="66"/>
      <c r="AP63" s="66"/>
      <c r="AQ63" s="60"/>
      <c r="AR63" s="60"/>
      <c r="AS63" s="60"/>
    </row>
    <row r="64" spans="1:4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66"/>
      <c r="AM64" s="66"/>
      <c r="AN64" s="66"/>
      <c r="AO64" s="66"/>
      <c r="AP64" s="66"/>
      <c r="AQ64" s="60"/>
      <c r="AR64" s="60"/>
      <c r="AS64" s="60"/>
    </row>
    <row r="65" spans="1:4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66"/>
      <c r="AM65" s="66"/>
      <c r="AN65" s="66"/>
      <c r="AO65" s="66"/>
      <c r="AP65" s="66"/>
      <c r="AQ65" s="60"/>
      <c r="AR65" s="60"/>
      <c r="AS65" s="60"/>
    </row>
    <row r="66" spans="1:4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66"/>
      <c r="AM66" s="66"/>
      <c r="AN66" s="66"/>
      <c r="AO66" s="66"/>
      <c r="AP66" s="66"/>
      <c r="AQ66" s="60"/>
      <c r="AR66" s="60"/>
      <c r="AS66" s="60"/>
    </row>
    <row r="67" spans="1:4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66"/>
      <c r="AM67" s="66"/>
      <c r="AN67" s="66"/>
      <c r="AO67" s="66"/>
      <c r="AP67" s="66"/>
      <c r="AQ67" s="60"/>
      <c r="AR67" s="60"/>
      <c r="AS67" s="60"/>
    </row>
    <row r="68" spans="1:4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66"/>
      <c r="AM68" s="66"/>
      <c r="AN68" s="66"/>
      <c r="AO68" s="66"/>
      <c r="AP68" s="66"/>
      <c r="AQ68" s="60"/>
      <c r="AR68" s="60"/>
      <c r="AS68" s="60"/>
    </row>
    <row r="69" spans="1:4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66"/>
      <c r="AM69" s="66"/>
      <c r="AN69" s="66"/>
      <c r="AO69" s="66"/>
      <c r="AP69" s="66"/>
      <c r="AQ69" s="60"/>
      <c r="AR69" s="60"/>
      <c r="AS69" s="60"/>
    </row>
    <row r="70" spans="1:4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66"/>
      <c r="AM70" s="66"/>
      <c r="AN70" s="66"/>
      <c r="AO70" s="66"/>
      <c r="AP70" s="66"/>
      <c r="AQ70" s="60"/>
      <c r="AR70" s="60"/>
      <c r="AS70" s="60"/>
    </row>
    <row r="71" spans="1:4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66"/>
      <c r="AM71" s="66"/>
      <c r="AN71" s="66"/>
      <c r="AO71" s="66"/>
      <c r="AP71" s="66"/>
      <c r="AQ71" s="60"/>
      <c r="AR71" s="60"/>
      <c r="AS71" s="60"/>
    </row>
    <row r="72" spans="1:4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66"/>
      <c r="AM72" s="66"/>
      <c r="AN72" s="66"/>
      <c r="AO72" s="66"/>
      <c r="AP72" s="66"/>
      <c r="AQ72" s="60"/>
      <c r="AR72" s="60"/>
      <c r="AS72" s="60"/>
    </row>
    <row r="73" spans="1:4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66"/>
      <c r="AM73" s="66"/>
      <c r="AN73" s="66"/>
      <c r="AO73" s="66"/>
      <c r="AP73" s="66"/>
      <c r="AQ73" s="60"/>
      <c r="AR73" s="60"/>
      <c r="AS73" s="60"/>
    </row>
    <row r="74" spans="1:4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66"/>
      <c r="AM74" s="66"/>
      <c r="AN74" s="66"/>
      <c r="AO74" s="66"/>
      <c r="AP74" s="66"/>
      <c r="AQ74" s="60"/>
      <c r="AR74" s="60"/>
      <c r="AS74" s="60"/>
    </row>
    <row r="75" spans="1:4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66"/>
      <c r="AM75" s="66"/>
      <c r="AN75" s="66"/>
      <c r="AO75" s="66"/>
      <c r="AP75" s="66"/>
      <c r="AQ75" s="60"/>
      <c r="AR75" s="60"/>
      <c r="AS75" s="60"/>
    </row>
    <row r="76" spans="1:4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66"/>
      <c r="AM76" s="66"/>
      <c r="AN76" s="66"/>
      <c r="AO76" s="66"/>
      <c r="AP76" s="66"/>
      <c r="AQ76" s="60"/>
      <c r="AR76" s="60"/>
      <c r="AS76" s="60"/>
    </row>
    <row r="77" spans="1:4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66"/>
      <c r="AM77" s="66"/>
      <c r="AN77" s="66"/>
      <c r="AO77" s="66"/>
      <c r="AP77" s="66"/>
      <c r="AQ77" s="60"/>
      <c r="AR77" s="60"/>
      <c r="AS77" s="60"/>
    </row>
    <row r="78" spans="1:4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66"/>
      <c r="AM78" s="66"/>
      <c r="AN78" s="66"/>
      <c r="AO78" s="66"/>
      <c r="AP78" s="66"/>
      <c r="AQ78" s="60"/>
      <c r="AR78" s="60"/>
      <c r="AS78" s="60"/>
    </row>
    <row r="79" spans="1:4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66"/>
      <c r="AM79" s="66"/>
      <c r="AN79" s="66"/>
      <c r="AO79" s="66"/>
      <c r="AP79" s="66"/>
      <c r="AQ79" s="60"/>
      <c r="AR79" s="60"/>
      <c r="AS79" s="60"/>
    </row>
    <row r="80" spans="1:4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66"/>
      <c r="AM80" s="66"/>
      <c r="AN80" s="66"/>
      <c r="AO80" s="66"/>
      <c r="AP80" s="66"/>
      <c r="AQ80" s="60"/>
      <c r="AR80" s="60"/>
      <c r="AS80" s="60"/>
    </row>
    <row r="81" spans="1:4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66"/>
      <c r="AM81" s="66"/>
      <c r="AN81" s="66"/>
      <c r="AO81" s="66"/>
      <c r="AP81" s="66"/>
      <c r="AQ81" s="60"/>
      <c r="AR81" s="60"/>
      <c r="AS81" s="60"/>
    </row>
    <row r="82" spans="1:4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66"/>
      <c r="AM82" s="66"/>
      <c r="AN82" s="66"/>
      <c r="AO82" s="66"/>
      <c r="AP82" s="66"/>
      <c r="AQ82" s="60"/>
      <c r="AR82" s="60"/>
      <c r="AS82" s="60"/>
    </row>
    <row r="83" spans="1:4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66"/>
      <c r="AM83" s="66"/>
      <c r="AN83" s="66"/>
      <c r="AO83" s="66"/>
      <c r="AP83" s="66"/>
      <c r="AQ83" s="60"/>
      <c r="AR83" s="60"/>
      <c r="AS83" s="60"/>
    </row>
    <row r="84" spans="1:4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66"/>
      <c r="AM84" s="66"/>
      <c r="AN84" s="66"/>
      <c r="AO84" s="66"/>
      <c r="AP84" s="66"/>
      <c r="AQ84" s="60"/>
      <c r="AR84" s="60"/>
      <c r="AS84" s="60"/>
    </row>
    <row r="85" spans="1:4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66"/>
      <c r="AM85" s="66"/>
      <c r="AN85" s="66"/>
      <c r="AO85" s="66"/>
      <c r="AP85" s="66"/>
      <c r="AQ85" s="60"/>
      <c r="AR85" s="60"/>
      <c r="AS85" s="60"/>
    </row>
    <row r="86" spans="1:4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66"/>
      <c r="AM86" s="66"/>
      <c r="AN86" s="66"/>
      <c r="AO86" s="66"/>
      <c r="AP86" s="66"/>
      <c r="AQ86" s="60"/>
      <c r="AR86" s="60"/>
      <c r="AS86" s="60"/>
    </row>
    <row r="87" spans="1:4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66"/>
      <c r="AM87" s="66"/>
      <c r="AN87" s="66"/>
      <c r="AO87" s="66"/>
      <c r="AP87" s="66"/>
      <c r="AQ87" s="60"/>
      <c r="AR87" s="60"/>
      <c r="AS87" s="60"/>
    </row>
    <row r="88" spans="1:4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66"/>
      <c r="AM88" s="66"/>
      <c r="AN88" s="66"/>
      <c r="AO88" s="66"/>
      <c r="AP88" s="66"/>
      <c r="AQ88" s="60"/>
      <c r="AR88" s="60"/>
      <c r="AS88" s="60"/>
    </row>
    <row r="89" spans="1:4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66"/>
      <c r="AM89" s="66"/>
      <c r="AN89" s="66"/>
      <c r="AO89" s="66"/>
      <c r="AP89" s="66"/>
      <c r="AQ89" s="60"/>
      <c r="AR89" s="60"/>
      <c r="AS89" s="60"/>
    </row>
    <row r="90" spans="1:4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66"/>
      <c r="AM90" s="66"/>
      <c r="AN90" s="66"/>
      <c r="AO90" s="66"/>
      <c r="AP90" s="66"/>
      <c r="AQ90" s="60"/>
      <c r="AR90" s="60"/>
      <c r="AS90" s="60"/>
    </row>
    <row r="91" spans="1:4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66"/>
      <c r="AM91" s="66"/>
      <c r="AN91" s="66"/>
      <c r="AO91" s="66"/>
      <c r="AP91" s="66"/>
      <c r="AQ91" s="60"/>
      <c r="AR91" s="60"/>
      <c r="AS91" s="60"/>
    </row>
    <row r="92" spans="1:4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66"/>
      <c r="AM92" s="66"/>
      <c r="AN92" s="66"/>
      <c r="AO92" s="66"/>
      <c r="AP92" s="66"/>
      <c r="AQ92" s="60"/>
      <c r="AR92" s="60"/>
      <c r="AS92" s="60"/>
    </row>
    <row r="93" spans="1:4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66"/>
      <c r="AM93" s="66"/>
      <c r="AN93" s="66"/>
      <c r="AO93" s="66"/>
      <c r="AP93" s="66"/>
      <c r="AQ93" s="60"/>
      <c r="AR93" s="60"/>
      <c r="AS93" s="60"/>
    </row>
    <row r="94" spans="1:4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66"/>
      <c r="AM94" s="66"/>
      <c r="AN94" s="66"/>
      <c r="AO94" s="66"/>
      <c r="AP94" s="66"/>
      <c r="AQ94" s="60"/>
      <c r="AR94" s="60"/>
      <c r="AS94" s="60"/>
    </row>
    <row r="95" spans="1:4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66"/>
      <c r="AM95" s="66"/>
      <c r="AN95" s="66"/>
      <c r="AO95" s="66"/>
      <c r="AP95" s="66"/>
      <c r="AQ95" s="60"/>
      <c r="AR95" s="60"/>
      <c r="AS95" s="60"/>
    </row>
    <row r="96" spans="1:4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6"/>
      <c r="AM96" s="66"/>
      <c r="AN96" s="66"/>
      <c r="AO96" s="66"/>
      <c r="AP96" s="66"/>
      <c r="AQ96" s="60"/>
      <c r="AR96" s="60"/>
      <c r="AS96" s="60"/>
    </row>
    <row r="97" spans="1:4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66"/>
      <c r="AM97" s="66"/>
      <c r="AN97" s="66"/>
      <c r="AO97" s="66"/>
      <c r="AP97" s="66"/>
      <c r="AQ97" s="60"/>
      <c r="AR97" s="60"/>
      <c r="AS97" s="60"/>
    </row>
    <row r="98" spans="1:4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66"/>
      <c r="AM98" s="66"/>
      <c r="AN98" s="66"/>
      <c r="AO98" s="66"/>
      <c r="AP98" s="66"/>
      <c r="AQ98" s="60"/>
      <c r="AR98" s="60"/>
      <c r="AS98" s="60"/>
    </row>
    <row r="99" spans="1:4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66"/>
      <c r="AM99" s="66"/>
      <c r="AN99" s="66"/>
      <c r="AO99" s="66"/>
      <c r="AP99" s="66"/>
      <c r="AQ99" s="60"/>
      <c r="AR99" s="60"/>
      <c r="AS99" s="60"/>
    </row>
    <row r="100" spans="1:4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66"/>
      <c r="AM100" s="66"/>
      <c r="AN100" s="66"/>
      <c r="AO100" s="66"/>
      <c r="AP100" s="66"/>
      <c r="AQ100" s="60"/>
      <c r="AR100" s="60"/>
      <c r="AS100" s="60"/>
    </row>
    <row r="101" spans="1:4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66"/>
      <c r="AM101" s="66"/>
      <c r="AN101" s="66"/>
      <c r="AO101" s="66"/>
      <c r="AP101" s="66"/>
      <c r="AQ101" s="60"/>
      <c r="AR101" s="60"/>
      <c r="AS101" s="60"/>
    </row>
    <row r="102" spans="1:4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66"/>
      <c r="AM102" s="66"/>
      <c r="AN102" s="66"/>
      <c r="AO102" s="66"/>
      <c r="AP102" s="66"/>
      <c r="AQ102" s="60"/>
      <c r="AR102" s="60"/>
      <c r="AS102" s="60"/>
    </row>
    <row r="103" spans="1:4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66"/>
      <c r="AM103" s="66"/>
      <c r="AN103" s="66"/>
      <c r="AO103" s="66"/>
      <c r="AP103" s="66"/>
      <c r="AQ103" s="60"/>
      <c r="AR103" s="60"/>
      <c r="AS103" s="60"/>
    </row>
    <row r="104" spans="1:4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66"/>
      <c r="AM104" s="66"/>
      <c r="AN104" s="66"/>
      <c r="AO104" s="66"/>
      <c r="AP104" s="66"/>
      <c r="AQ104" s="60"/>
      <c r="AR104" s="60"/>
      <c r="AS104" s="60"/>
    </row>
    <row r="105" spans="1:4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66"/>
      <c r="AM105" s="66"/>
      <c r="AN105" s="66"/>
      <c r="AO105" s="66"/>
      <c r="AP105" s="66"/>
      <c r="AQ105" s="60"/>
      <c r="AR105" s="60"/>
      <c r="AS105" s="60"/>
    </row>
    <row r="106" spans="1:4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66"/>
      <c r="AM106" s="66"/>
      <c r="AN106" s="66"/>
      <c r="AO106" s="66"/>
      <c r="AP106" s="66"/>
      <c r="AQ106" s="60"/>
      <c r="AR106" s="60"/>
      <c r="AS106" s="60"/>
    </row>
    <row r="107" spans="1:4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66"/>
      <c r="AM107" s="66"/>
      <c r="AN107" s="66"/>
      <c r="AO107" s="66"/>
      <c r="AP107" s="66"/>
      <c r="AQ107" s="60"/>
      <c r="AR107" s="60"/>
      <c r="AS107" s="60"/>
    </row>
    <row r="108" spans="1:4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66"/>
      <c r="AM108" s="66"/>
      <c r="AN108" s="66"/>
      <c r="AO108" s="66"/>
      <c r="AP108" s="66"/>
      <c r="AQ108" s="60"/>
      <c r="AR108" s="60"/>
      <c r="AS108" s="60"/>
    </row>
    <row r="109" spans="1:4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66"/>
      <c r="AM109" s="66"/>
      <c r="AN109" s="66"/>
      <c r="AO109" s="66"/>
      <c r="AP109" s="66"/>
      <c r="AQ109" s="60"/>
      <c r="AR109" s="60"/>
      <c r="AS109" s="60"/>
    </row>
    <row r="110" spans="1:4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66"/>
      <c r="AM110" s="66"/>
      <c r="AN110" s="66"/>
      <c r="AO110" s="66"/>
      <c r="AP110" s="66"/>
      <c r="AQ110" s="60"/>
      <c r="AR110" s="60"/>
      <c r="AS110" s="60"/>
    </row>
    <row r="111" spans="1:4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66"/>
      <c r="AM111" s="66"/>
      <c r="AN111" s="66"/>
      <c r="AO111" s="66"/>
      <c r="AP111" s="66"/>
      <c r="AQ111" s="60"/>
      <c r="AR111" s="60"/>
      <c r="AS111" s="60"/>
    </row>
    <row r="112" spans="1:4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66"/>
      <c r="AM112" s="66"/>
      <c r="AN112" s="66"/>
      <c r="AO112" s="66"/>
      <c r="AP112" s="66"/>
      <c r="AQ112" s="60"/>
      <c r="AR112" s="60"/>
      <c r="AS112" s="60"/>
    </row>
    <row r="113" spans="1:4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66"/>
      <c r="AM113" s="66"/>
      <c r="AN113" s="66"/>
      <c r="AO113" s="66"/>
      <c r="AP113" s="66"/>
      <c r="AQ113" s="60"/>
      <c r="AR113" s="60"/>
      <c r="AS113" s="60"/>
    </row>
    <row r="114" spans="1:4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66"/>
      <c r="AM114" s="66"/>
      <c r="AN114" s="66"/>
      <c r="AO114" s="66"/>
      <c r="AP114" s="66"/>
      <c r="AQ114" s="60"/>
      <c r="AR114" s="60"/>
      <c r="AS114" s="60"/>
    </row>
    <row r="115" spans="1:4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66"/>
      <c r="AM115" s="66"/>
      <c r="AN115" s="66"/>
      <c r="AO115" s="66"/>
      <c r="AP115" s="66"/>
      <c r="AQ115" s="60"/>
      <c r="AR115" s="60"/>
      <c r="AS115" s="60"/>
    </row>
    <row r="116" spans="1:4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6"/>
      <c r="AM116" s="66"/>
      <c r="AN116" s="66"/>
      <c r="AO116" s="66"/>
      <c r="AP116" s="66"/>
      <c r="AQ116" s="60"/>
      <c r="AR116" s="60"/>
      <c r="AS116" s="60"/>
    </row>
    <row r="117" spans="1:4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66"/>
      <c r="AM117" s="66"/>
      <c r="AN117" s="66"/>
      <c r="AO117" s="66"/>
      <c r="AP117" s="66"/>
      <c r="AQ117" s="60"/>
      <c r="AR117" s="60"/>
      <c r="AS117" s="60"/>
    </row>
    <row r="118" spans="1:4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0"/>
      <c r="AR118" s="60"/>
      <c r="AS118" s="60"/>
    </row>
    <row r="119" spans="1:4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0"/>
      <c r="AR119" s="60"/>
      <c r="AS119" s="60"/>
    </row>
    <row r="120" spans="1:4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0"/>
      <c r="AR120" s="60"/>
      <c r="AS120" s="60"/>
    </row>
    <row r="121" spans="1:4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0"/>
      <c r="AR121" s="60"/>
      <c r="AS121" s="60"/>
    </row>
    <row r="122" spans="1:4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0"/>
      <c r="AR122" s="60"/>
      <c r="AS122" s="60"/>
    </row>
    <row r="123" spans="1:4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0"/>
      <c r="AR123" s="60"/>
      <c r="AS123" s="60"/>
    </row>
    <row r="124" spans="1:4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0"/>
      <c r="AR124" s="60"/>
      <c r="AS124" s="60"/>
    </row>
    <row r="125" spans="1:4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0"/>
      <c r="AR125" s="60"/>
      <c r="AS125" s="60"/>
    </row>
    <row r="126" spans="1:4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0"/>
      <c r="AR126" s="60"/>
      <c r="AS126" s="60"/>
    </row>
    <row r="127" spans="1:4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0"/>
      <c r="AR127" s="60"/>
      <c r="AS127" s="60"/>
    </row>
    <row r="128" spans="1:4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0"/>
      <c r="AR128" s="60"/>
      <c r="AS128" s="60"/>
    </row>
    <row r="129" spans="1:4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0"/>
      <c r="AR129" s="60"/>
      <c r="AS129" s="60"/>
    </row>
    <row r="130" spans="1:4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0"/>
      <c r="AR130" s="60"/>
      <c r="AS130" s="60"/>
    </row>
    <row r="131" spans="1:4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0"/>
      <c r="AR131" s="60"/>
      <c r="AS131" s="60"/>
    </row>
    <row r="132" spans="1:4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0"/>
      <c r="AR132" s="60"/>
      <c r="AS132" s="60"/>
    </row>
    <row r="133" spans="1:4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0"/>
      <c r="AR133" s="60"/>
      <c r="AS133" s="60"/>
    </row>
    <row r="134" spans="1:4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0"/>
      <c r="AR134" s="60"/>
      <c r="AS134" s="60"/>
    </row>
    <row r="135" spans="1:4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0"/>
      <c r="AR135" s="60"/>
      <c r="AS135" s="60"/>
    </row>
    <row r="136" spans="1:4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0"/>
      <c r="AR136" s="60"/>
      <c r="AS136" s="60"/>
    </row>
    <row r="137" spans="1:4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0"/>
      <c r="AR137" s="60"/>
      <c r="AS137" s="60"/>
    </row>
    <row r="138" spans="1:4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0"/>
      <c r="AR138" s="60"/>
      <c r="AS138" s="60"/>
    </row>
    <row r="139" spans="1:4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0"/>
      <c r="AR139" s="60"/>
      <c r="AS139" s="60"/>
    </row>
    <row r="140" spans="1:4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0"/>
      <c r="AR140" s="60"/>
      <c r="AS140" s="60"/>
    </row>
    <row r="141" spans="1:4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0"/>
      <c r="AR141" s="60"/>
      <c r="AS141" s="60"/>
    </row>
    <row r="142" spans="1:4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0"/>
      <c r="AR142" s="60"/>
      <c r="AS142" s="60"/>
    </row>
    <row r="143" spans="1:4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0"/>
      <c r="AR143" s="60"/>
      <c r="AS143" s="60"/>
    </row>
    <row r="144" spans="1:4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0"/>
      <c r="AR144" s="60"/>
      <c r="AS144" s="60"/>
    </row>
    <row r="145" spans="1:4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0"/>
      <c r="AR145" s="60"/>
      <c r="AS145" s="60"/>
    </row>
    <row r="146" spans="1:4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0"/>
      <c r="AR146" s="60"/>
      <c r="AS146" s="60"/>
    </row>
    <row r="147" spans="1:4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0"/>
      <c r="AR147" s="60"/>
      <c r="AS147" s="60"/>
    </row>
    <row r="148" spans="1:4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0"/>
      <c r="AR148" s="60"/>
      <c r="AS148" s="60"/>
    </row>
    <row r="149" spans="1:4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0"/>
      <c r="AR149" s="60"/>
      <c r="AS149" s="60"/>
    </row>
    <row r="150" spans="1:4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0"/>
      <c r="AR150" s="60"/>
      <c r="AS150" s="60"/>
    </row>
    <row r="151" spans="1:4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0"/>
      <c r="AR151" s="60"/>
      <c r="AS151" s="60"/>
    </row>
    <row r="152" spans="1:4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0"/>
      <c r="AR152" s="60"/>
      <c r="AS152" s="60"/>
    </row>
    <row r="153" spans="1:4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0"/>
      <c r="AR153" s="60"/>
      <c r="AS153" s="60"/>
    </row>
    <row r="154" spans="1:4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0"/>
      <c r="AR154" s="60"/>
      <c r="AS154" s="60"/>
    </row>
    <row r="155" spans="1:4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0"/>
      <c r="AR155" s="60"/>
      <c r="AS155" s="60"/>
    </row>
    <row r="156" spans="1:4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0"/>
      <c r="AR156" s="60"/>
      <c r="AS156" s="60"/>
    </row>
    <row r="157" spans="1:4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0"/>
      <c r="AR157" s="60"/>
      <c r="AS157" s="60"/>
    </row>
    <row r="158" spans="1:4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0"/>
      <c r="AR158" s="60"/>
      <c r="AS158" s="60"/>
    </row>
    <row r="159" spans="1:4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0"/>
      <c r="AR159" s="60"/>
      <c r="AS159" s="60"/>
    </row>
    <row r="160" spans="1:4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0"/>
      <c r="AR160" s="60"/>
      <c r="AS160" s="60"/>
    </row>
    <row r="161" spans="1:4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0"/>
      <c r="AR161" s="60"/>
      <c r="AS161" s="60"/>
    </row>
    <row r="162" spans="1:4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0"/>
      <c r="AR162" s="60"/>
      <c r="AS162" s="60"/>
    </row>
    <row r="163" spans="1:4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0"/>
      <c r="AR163" s="60"/>
      <c r="AS163" s="60"/>
    </row>
    <row r="164" spans="1:4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0"/>
      <c r="AR164" s="60"/>
      <c r="AS164" s="60"/>
    </row>
    <row r="165" spans="1:4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0"/>
      <c r="AR165" s="60"/>
      <c r="AS165" s="60"/>
    </row>
    <row r="166" spans="1:45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0"/>
      <c r="AR166" s="60"/>
      <c r="AS166" s="60"/>
    </row>
    <row r="167" spans="1:45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0"/>
      <c r="AR167" s="60"/>
      <c r="AS167" s="60"/>
    </row>
    <row r="168" spans="1:45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0"/>
      <c r="AR168" s="60"/>
      <c r="AS168" s="60"/>
    </row>
    <row r="169" spans="1:45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0"/>
      <c r="AR169" s="60"/>
      <c r="AS169" s="60"/>
    </row>
    <row r="170" spans="1:4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0"/>
      <c r="AR170" s="60"/>
      <c r="AS170" s="60"/>
    </row>
    <row r="171" spans="1:45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0"/>
      <c r="AR171" s="60"/>
      <c r="AS171" s="60"/>
    </row>
    <row r="172" spans="1:45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0"/>
      <c r="AR172" s="60"/>
      <c r="AS172" s="60"/>
    </row>
    <row r="173" spans="1:45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0"/>
      <c r="AR173" s="60"/>
      <c r="AS173" s="60"/>
    </row>
    <row r="174" spans="1:45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0"/>
      <c r="AR174" s="60"/>
      <c r="AS174" s="60"/>
    </row>
    <row r="175" spans="1:45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0"/>
      <c r="AR175" s="60"/>
      <c r="AS175" s="60"/>
    </row>
    <row r="176" spans="1:45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0"/>
      <c r="AR176" s="60"/>
      <c r="AS176" s="60"/>
    </row>
    <row r="177" spans="1:45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0"/>
      <c r="AR177" s="60"/>
      <c r="AS177" s="60"/>
    </row>
    <row r="178" spans="1:45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0"/>
      <c r="AR178" s="60"/>
      <c r="AS178" s="60"/>
    </row>
    <row r="179" spans="1:45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0"/>
      <c r="AR179" s="60"/>
      <c r="AS179" s="60"/>
    </row>
    <row r="180" spans="1:45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0"/>
      <c r="AR180" s="60"/>
      <c r="AS180" s="60"/>
    </row>
    <row r="181" spans="1:45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0"/>
      <c r="AR181" s="60"/>
      <c r="AS181" s="60"/>
    </row>
    <row r="182" spans="1:45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0"/>
      <c r="AR182" s="60"/>
      <c r="AS182" s="60"/>
    </row>
    <row r="183" spans="1:45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0"/>
      <c r="AR183" s="60"/>
      <c r="AS183" s="60"/>
    </row>
    <row r="184" spans="1:45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0"/>
      <c r="AR184" s="60"/>
      <c r="AS184" s="60"/>
    </row>
    <row r="185" spans="1:45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0"/>
      <c r="AR185" s="60"/>
      <c r="AS185" s="60"/>
    </row>
    <row r="186" spans="1:45"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</row>
    <row r="187" spans="1:45"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</row>
    <row r="188" spans="1:45"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</row>
    <row r="189" spans="1:45"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</row>
    <row r="190" spans="1:45"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</row>
    <row r="191" spans="1:45"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</row>
    <row r="192" spans="1:45"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</row>
    <row r="193" spans="18:42"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</row>
    <row r="194" spans="18:42"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</row>
    <row r="195" spans="18:42"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</row>
    <row r="196" spans="18:42"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</row>
    <row r="197" spans="18:42"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</row>
    <row r="198" spans="18:42"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</row>
    <row r="199" spans="18:42"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</row>
    <row r="200" spans="18:42"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</row>
    <row r="201" spans="18:42"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</row>
    <row r="202" spans="18:42"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</row>
    <row r="203" spans="18:42"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</row>
    <row r="204" spans="18:42"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</row>
    <row r="205" spans="18:42"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</row>
    <row r="206" spans="18:42"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</row>
    <row r="207" spans="18:42"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</row>
    <row r="208" spans="18:42"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</row>
    <row r="209" spans="18:42"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</row>
    <row r="210" spans="18:42"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</row>
    <row r="211" spans="18:42"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</row>
    <row r="212" spans="18:42"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</row>
    <row r="213" spans="18:42"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</row>
    <row r="214" spans="18:42"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</row>
    <row r="215" spans="18:42"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</row>
    <row r="216" spans="18:42"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</row>
    <row r="217" spans="18:42"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</row>
    <row r="218" spans="18:42"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</row>
    <row r="219" spans="18:42"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</row>
    <row r="220" spans="18:42"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</row>
    <row r="221" spans="18:42"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</row>
    <row r="222" spans="18:42"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</row>
    <row r="223" spans="18:42"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</row>
    <row r="224" spans="18:42"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</row>
    <row r="225" spans="18:42"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</row>
    <row r="226" spans="18:42"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</row>
    <row r="227" spans="18:42"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</row>
    <row r="228" spans="18:42"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</row>
    <row r="229" spans="18:42"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</row>
    <row r="230" spans="18:42"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</row>
    <row r="231" spans="18:42"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</row>
    <row r="232" spans="18:42"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</row>
    <row r="233" spans="18:42"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</row>
    <row r="234" spans="18:42"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</row>
    <row r="235" spans="18:42"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</row>
    <row r="236" spans="18:42"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</row>
    <row r="237" spans="18:42"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</row>
  </sheetData>
  <sheetProtection password="D294" sheet="1" objects="1" scenarios="1"/>
  <dataConsolidate/>
  <mergeCells count="26">
    <mergeCell ref="B28:L29"/>
    <mergeCell ref="E31:H31"/>
    <mergeCell ref="N32:Q32"/>
    <mergeCell ref="N33:Q34"/>
    <mergeCell ref="N35:Q36"/>
    <mergeCell ref="C4:H4"/>
    <mergeCell ref="C5:H5"/>
    <mergeCell ref="C6:E6"/>
    <mergeCell ref="N14:Q16"/>
    <mergeCell ref="V16:Y16"/>
    <mergeCell ref="N17:Q18"/>
    <mergeCell ref="C20:E20"/>
    <mergeCell ref="E21:K21"/>
    <mergeCell ref="N25:Q26"/>
    <mergeCell ref="P9:Q9"/>
    <mergeCell ref="P10:Q10"/>
    <mergeCell ref="C11:K11"/>
    <mergeCell ref="N11:Q11"/>
    <mergeCell ref="R11:S12"/>
    <mergeCell ref="N12:Q13"/>
    <mergeCell ref="R13:S13"/>
    <mergeCell ref="S4:U4"/>
    <mergeCell ref="S5:U5"/>
    <mergeCell ref="S6:U6"/>
    <mergeCell ref="I8:K8"/>
    <mergeCell ref="N8:Q8"/>
  </mergeCells>
  <conditionalFormatting sqref="I25">
    <cfRule type="expression" dxfId="10" priority="5">
      <formula>$C$14="Sim"</formula>
    </cfRule>
  </conditionalFormatting>
  <conditionalFormatting sqref="J24">
    <cfRule type="expression" dxfId="9" priority="6">
      <formula>$C$14="Sim"</formula>
    </cfRule>
  </conditionalFormatting>
  <conditionalFormatting sqref="N14">
    <cfRule type="expression" dxfId="8" priority="4">
      <formula>$N$14=""</formula>
    </cfRule>
  </conditionalFormatting>
  <conditionalFormatting sqref="P19">
    <cfRule type="expression" dxfId="7" priority="3">
      <formula>$P$19=$N$12</formula>
    </cfRule>
  </conditionalFormatting>
  <conditionalFormatting sqref="N19">
    <cfRule type="expression" dxfId="6" priority="2">
      <formula>$N$19="50% IAS"</formula>
    </cfRule>
  </conditionalFormatting>
  <conditionalFormatting sqref="N25">
    <cfRule type="expression" dxfId="5" priority="1">
      <formula>$N$14=""</formula>
    </cfRule>
  </conditionalFormatting>
  <dataValidations count="4">
    <dataValidation type="list" allowBlank="1" showInputMessage="1" showErrorMessage="1" sqref="C31">
      <formula1>S2:S3</formula1>
    </dataValidation>
    <dataValidation type="list" allowBlank="1" showInputMessage="1" showErrorMessage="1" sqref="I31">
      <formula1>INDIRECT($K$37)</formula1>
    </dataValidation>
    <dataValidation type="list" allowBlank="1" showInputMessage="1" showErrorMessage="1" sqref="C14">
      <formula1>$S$2:$S$3</formula1>
    </dataValidation>
    <dataValidation type="list" allowBlank="1" showInputMessage="1" showErrorMessage="1" sqref="C11">
      <formula1>$S$4:$S$7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P9 R13 N19:N23 Q30 N12" emptyCellReference="1"/>
    <ignoredError sqref="T33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37"/>
  <sheetViews>
    <sheetView showGridLines="0" showRowColHeaders="0" workbookViewId="0">
      <selection activeCell="N13" sqref="N13:Q14"/>
    </sheetView>
  </sheetViews>
  <sheetFormatPr baseColWidth="10" defaultRowHeight="15" x14ac:dyDescent="0"/>
  <cols>
    <col min="1" max="1" width="7.33203125" customWidth="1"/>
    <col min="2" max="2" width="4.83203125" customWidth="1"/>
    <col min="3" max="3" width="25" customWidth="1"/>
    <col min="4" max="4" width="4.33203125" customWidth="1"/>
    <col min="5" max="5" width="5.33203125" customWidth="1"/>
    <col min="6" max="6" width="4.33203125" customWidth="1"/>
    <col min="7" max="7" width="3.5" customWidth="1"/>
    <col min="8" max="8" width="4.1640625" customWidth="1"/>
    <col min="9" max="9" width="25" customWidth="1"/>
    <col min="10" max="10" width="4.33203125" customWidth="1"/>
    <col min="11" max="11" width="11.1640625" customWidth="1"/>
    <col min="12" max="12" width="4.5" customWidth="1"/>
    <col min="13" max="13" width="4.33203125" customWidth="1"/>
    <col min="14" max="14" width="16" customWidth="1"/>
    <col min="15" max="15" width="7.1640625" customWidth="1"/>
    <col min="16" max="16" width="10" customWidth="1"/>
    <col min="17" max="17" width="8.33203125" customWidth="1"/>
    <col min="19" max="19" width="14.6640625" customWidth="1"/>
    <col min="23" max="23" width="17.83203125" bestFit="1" customWidth="1"/>
    <col min="24" max="24" width="18.1640625" bestFit="1" customWidth="1"/>
    <col min="25" max="25" width="12.5" bestFit="1" customWidth="1"/>
    <col min="26" max="26" width="18.1640625" bestFit="1" customWidth="1"/>
    <col min="27" max="27" width="13.1640625" customWidth="1"/>
    <col min="28" max="28" width="18.1640625" bestFit="1" customWidth="1"/>
    <col min="29" max="29" width="12.6640625" customWidth="1"/>
  </cols>
  <sheetData>
    <row r="2" spans="1:4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6"/>
      <c r="S2" s="66" t="s">
        <v>11</v>
      </c>
      <c r="T2" s="66"/>
      <c r="U2" s="66"/>
      <c r="V2" s="66"/>
      <c r="W2" s="66"/>
      <c r="X2" s="66"/>
      <c r="Y2" s="66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66"/>
      <c r="AM2" s="66"/>
      <c r="AN2" s="66"/>
      <c r="AO2" s="66"/>
      <c r="AP2" s="66"/>
    </row>
    <row r="3" spans="1:42" ht="40" customHeight="1">
      <c r="A3" s="60"/>
      <c r="B3" s="84"/>
      <c r="C3" s="195" t="s">
        <v>42</v>
      </c>
      <c r="D3" s="196"/>
      <c r="E3" s="196"/>
      <c r="F3" s="196"/>
      <c r="G3" s="196"/>
      <c r="H3" s="196"/>
      <c r="I3" s="84"/>
      <c r="J3" s="84"/>
      <c r="K3" s="84"/>
      <c r="L3" s="84"/>
      <c r="M3" s="84"/>
      <c r="N3" s="84"/>
      <c r="O3" s="84"/>
      <c r="P3" s="84"/>
      <c r="Q3" s="84"/>
      <c r="R3" s="14"/>
      <c r="S3" s="66" t="s">
        <v>12</v>
      </c>
      <c r="T3" s="66"/>
      <c r="U3" s="66"/>
      <c r="V3" s="66"/>
      <c r="W3" s="66" t="s">
        <v>1</v>
      </c>
      <c r="X3" s="66"/>
      <c r="Y3" s="66">
        <v>1</v>
      </c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66"/>
      <c r="AM3" s="66"/>
      <c r="AN3" s="66"/>
      <c r="AO3" s="66"/>
      <c r="AP3" s="66"/>
    </row>
    <row r="4" spans="1:42" ht="20" customHeight="1">
      <c r="A4" s="60"/>
      <c r="B4" s="85"/>
      <c r="C4" s="86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88"/>
      <c r="P4" s="89"/>
      <c r="Q4" s="89"/>
      <c r="R4" s="49">
        <v>0.29599999999999999</v>
      </c>
      <c r="S4" s="78" t="s">
        <v>59</v>
      </c>
      <c r="T4" s="78"/>
      <c r="U4" s="78"/>
      <c r="V4" s="66">
        <v>1</v>
      </c>
      <c r="W4" s="66" t="s">
        <v>2</v>
      </c>
      <c r="X4" s="66"/>
      <c r="Y4" s="66">
        <v>2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66"/>
      <c r="AM4" s="66"/>
      <c r="AN4" s="66"/>
      <c r="AO4" s="66"/>
      <c r="AP4" s="66"/>
    </row>
    <row r="5" spans="1:42" ht="20" customHeight="1">
      <c r="A5" s="60"/>
      <c r="B5" s="85"/>
      <c r="C5" s="86" t="s">
        <v>47</v>
      </c>
      <c r="D5" s="86"/>
      <c r="E5" s="86"/>
      <c r="F5" s="86"/>
      <c r="G5" s="86"/>
      <c r="H5" s="86"/>
      <c r="I5" s="87"/>
      <c r="J5" s="87"/>
      <c r="K5" s="87"/>
      <c r="L5" s="87"/>
      <c r="M5" s="87"/>
      <c r="N5" s="87"/>
      <c r="O5" s="88"/>
      <c r="P5" s="89"/>
      <c r="Q5" s="89"/>
      <c r="R5" s="49">
        <v>0.28299999999999997</v>
      </c>
      <c r="S5" s="78" t="s">
        <v>18</v>
      </c>
      <c r="T5" s="78"/>
      <c r="U5" s="78"/>
      <c r="V5" s="66">
        <v>2</v>
      </c>
      <c r="W5" s="66" t="s">
        <v>3</v>
      </c>
      <c r="X5" s="66"/>
      <c r="Y5" s="66">
        <v>3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66"/>
      <c r="AM5" s="66"/>
      <c r="AN5" s="66"/>
      <c r="AO5" s="66"/>
      <c r="AP5" s="66"/>
    </row>
    <row r="6" spans="1:42" ht="22" customHeight="1">
      <c r="A6" s="60"/>
      <c r="B6" s="85"/>
      <c r="C6" s="86" t="s">
        <v>46</v>
      </c>
      <c r="D6" s="86"/>
      <c r="E6" s="86"/>
      <c r="F6" s="141" t="s">
        <v>44</v>
      </c>
      <c r="G6" s="141"/>
      <c r="H6" s="141"/>
      <c r="I6" s="141"/>
      <c r="J6" s="141"/>
      <c r="K6" s="141"/>
      <c r="L6" s="141"/>
      <c r="M6" s="141"/>
      <c r="N6" s="141"/>
      <c r="O6" s="141"/>
      <c r="P6" s="89"/>
      <c r="Q6" s="89"/>
      <c r="R6" s="49">
        <v>0.34749999999999998</v>
      </c>
      <c r="S6" s="78" t="s">
        <v>19</v>
      </c>
      <c r="T6" s="78"/>
      <c r="U6" s="78"/>
      <c r="V6" s="66">
        <v>3</v>
      </c>
      <c r="W6" s="66"/>
      <c r="X6" s="66"/>
      <c r="Y6" s="66">
        <v>4</v>
      </c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66"/>
      <c r="AM6" s="66"/>
      <c r="AN6" s="66"/>
      <c r="AO6" s="66"/>
      <c r="AP6" s="66"/>
    </row>
    <row r="7" spans="1:42" ht="18" customHeight="1">
      <c r="A7" s="60"/>
      <c r="B7" s="90"/>
      <c r="C7" s="91" t="s">
        <v>43</v>
      </c>
      <c r="D7" s="91"/>
      <c r="E7" s="91"/>
      <c r="F7" s="92"/>
      <c r="G7" s="92"/>
      <c r="H7" s="92"/>
      <c r="I7" s="92"/>
      <c r="J7" s="92"/>
      <c r="K7" s="92"/>
      <c r="L7" s="92"/>
      <c r="M7" s="92"/>
      <c r="N7" s="93"/>
      <c r="O7" s="93"/>
      <c r="P7" s="94"/>
      <c r="Q7" s="94"/>
      <c r="R7" s="49">
        <v>0.34749999999999998</v>
      </c>
      <c r="S7" s="138" t="s">
        <v>20</v>
      </c>
      <c r="T7" s="66"/>
      <c r="U7" s="66"/>
      <c r="V7" s="66">
        <v>4</v>
      </c>
      <c r="W7" s="66"/>
      <c r="X7" s="66"/>
      <c r="Y7" s="66">
        <v>5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66"/>
      <c r="AM7" s="66"/>
      <c r="AN7" s="66"/>
      <c r="AO7" s="66"/>
      <c r="AP7" s="66"/>
    </row>
    <row r="8" spans="1:42" ht="20" customHeight="1">
      <c r="A8" s="60"/>
      <c r="B8" s="95"/>
      <c r="C8" s="96"/>
      <c r="D8" s="96"/>
      <c r="E8" s="96"/>
      <c r="F8" s="96"/>
      <c r="G8" s="97"/>
      <c r="H8" s="97"/>
      <c r="I8" s="97"/>
      <c r="J8" s="97"/>
      <c r="K8" s="97"/>
      <c r="L8" s="97"/>
      <c r="M8" s="60"/>
      <c r="N8" s="98"/>
      <c r="O8" s="98"/>
      <c r="P8" s="98"/>
      <c r="Q8" s="98"/>
      <c r="R8" s="66"/>
      <c r="S8" s="138"/>
      <c r="T8" s="66"/>
      <c r="U8" s="66"/>
      <c r="V8" s="66"/>
      <c r="W8" s="66"/>
      <c r="X8" s="66"/>
      <c r="Y8" s="66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66"/>
      <c r="AM8" s="66"/>
      <c r="AN8" s="66"/>
      <c r="AO8" s="66"/>
      <c r="AP8" s="66"/>
    </row>
    <row r="9" spans="1:42" ht="20" customHeight="1">
      <c r="A9" s="60"/>
      <c r="B9" s="99">
        <v>1</v>
      </c>
      <c r="C9" s="100" t="s">
        <v>21</v>
      </c>
      <c r="D9" s="96"/>
      <c r="E9" s="96"/>
      <c r="F9" s="96"/>
      <c r="G9" s="97"/>
      <c r="H9" s="97"/>
      <c r="I9" s="101"/>
      <c r="J9" s="101"/>
      <c r="K9" s="101"/>
      <c r="L9" s="102"/>
      <c r="M9" s="60"/>
      <c r="N9" s="68" t="s">
        <v>23</v>
      </c>
      <c r="O9" s="68"/>
      <c r="P9" s="68"/>
      <c r="Q9" s="68"/>
      <c r="R9" s="66"/>
      <c r="S9" s="66"/>
      <c r="T9" s="66"/>
      <c r="U9" s="66"/>
      <c r="V9" s="66"/>
      <c r="W9" s="66"/>
      <c r="X9" s="66"/>
      <c r="Y9" s="66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66"/>
      <c r="AM9" s="66"/>
      <c r="AN9" s="66"/>
      <c r="AO9" s="66"/>
      <c r="AP9" s="66"/>
    </row>
    <row r="10" spans="1:42" ht="20" customHeight="1">
      <c r="A10" s="60"/>
      <c r="B10" s="103"/>
      <c r="C10" s="104"/>
      <c r="D10" s="105"/>
      <c r="E10" s="105"/>
      <c r="F10" s="105"/>
      <c r="G10" s="106"/>
      <c r="H10" s="106"/>
      <c r="I10" s="106"/>
      <c r="J10" s="106"/>
      <c r="K10" s="106"/>
      <c r="L10" s="106"/>
      <c r="M10" s="60"/>
      <c r="N10" s="158" t="s">
        <v>26</v>
      </c>
      <c r="O10" s="158"/>
      <c r="P10" s="159">
        <f>IF(C15="Não",C23*0.7+(I23+C26)*0.2,IF(AND(C15="Sim",I26&lt;C23*0.7+(I23+C26)*0.2),I26,IF(AND(C15="Sim",I26&gt;=C23*0.7+(I23+C26)*0.2),C23*0.7+(I23+C26)*0.2,IF(AND(C23="",I23="",C26="",I26=""),""))))</f>
        <v>12000</v>
      </c>
      <c r="Q10" s="159"/>
      <c r="R10" s="15"/>
      <c r="S10" s="15"/>
      <c r="T10" s="66"/>
      <c r="U10" s="66"/>
      <c r="V10" s="66"/>
      <c r="W10" s="66"/>
      <c r="X10" s="66"/>
      <c r="Y10" s="66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66"/>
      <c r="AM10" s="66"/>
      <c r="AN10" s="66"/>
      <c r="AO10" s="66"/>
      <c r="AP10" s="66"/>
    </row>
    <row r="11" spans="1:42" ht="20" customHeight="1">
      <c r="A11" s="60"/>
      <c r="B11" s="107"/>
      <c r="C11" s="108" t="s">
        <v>16</v>
      </c>
      <c r="D11" s="109"/>
      <c r="E11" s="110"/>
      <c r="F11" s="110"/>
      <c r="G11" s="110"/>
      <c r="H11" s="110"/>
      <c r="I11" s="110"/>
      <c r="J11" s="110"/>
      <c r="K11" s="110"/>
      <c r="L11" s="110"/>
      <c r="M11" s="60"/>
      <c r="N11" s="175" t="s">
        <v>27</v>
      </c>
      <c r="O11" s="56"/>
      <c r="P11" s="160">
        <f>IF(C12="Prestadores de serviços",29.6%,IF(C12="Empresários em nome individual com rendimentos exclusivos de atividade comercial ou industrial",34.75%,IF(C12="Produtores agrícolas com rendimentos exclusivos da agricultura",28.3%,IF(C12="Titulares de estabelecimento individual de responsabilidade limitada (EIRL)",34.75%,IF(C12="","")))))</f>
        <v>0.34749999999999998</v>
      </c>
      <c r="Q11" s="160"/>
      <c r="R11" s="76"/>
      <c r="S11" s="76"/>
      <c r="T11" s="66"/>
      <c r="U11" s="66"/>
      <c r="V11" s="66"/>
      <c r="W11" s="66"/>
      <c r="X11" s="66"/>
      <c r="Y11" s="66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66"/>
      <c r="AM11" s="66"/>
      <c r="AN11" s="66"/>
      <c r="AO11" s="66"/>
      <c r="AP11" s="66"/>
    </row>
    <row r="12" spans="1:42" ht="21" customHeight="1">
      <c r="A12" s="60"/>
      <c r="B12" s="110"/>
      <c r="C12" s="111" t="s">
        <v>19</v>
      </c>
      <c r="D12" s="111"/>
      <c r="E12" s="111"/>
      <c r="F12" s="111"/>
      <c r="G12" s="111"/>
      <c r="H12" s="111"/>
      <c r="I12" s="111"/>
      <c r="J12" s="111"/>
      <c r="K12" s="111"/>
      <c r="L12" s="110"/>
      <c r="M12" s="60"/>
      <c r="N12" s="142" t="s">
        <v>34</v>
      </c>
      <c r="O12" s="142"/>
      <c r="P12" s="142"/>
      <c r="Q12" s="142"/>
      <c r="R12" s="76"/>
      <c r="S12" s="76"/>
      <c r="T12" s="66"/>
      <c r="U12" s="66"/>
      <c r="V12" s="66"/>
      <c r="W12" s="66"/>
      <c r="X12" s="66"/>
      <c r="Y12" s="66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66"/>
      <c r="AM12" s="66"/>
      <c r="AN12" s="66"/>
      <c r="AO12" s="66"/>
      <c r="AP12" s="66"/>
    </row>
    <row r="13" spans="1:42" ht="20" customHeight="1">
      <c r="A13" s="113"/>
      <c r="B13" s="110"/>
      <c r="C13" s="112"/>
      <c r="D13" s="112"/>
      <c r="E13" s="112"/>
      <c r="F13" s="112"/>
      <c r="G13" s="112"/>
      <c r="H13" s="112"/>
      <c r="I13" s="112"/>
      <c r="J13" s="112"/>
      <c r="K13" s="112"/>
      <c r="L13" s="110"/>
      <c r="M13" s="60"/>
      <c r="N13" s="72">
        <f>IF(OR(C12="",C15="",AND(C23="",I23="",C26="")),"",IF(AND(I26&gt;0,R36&lt;=4),INDEX(D37:G48,4,S36),T36))</f>
        <v>291.36</v>
      </c>
      <c r="O13" s="72"/>
      <c r="P13" s="72"/>
      <c r="Q13" s="73"/>
      <c r="R13" s="81">
        <f>MAX(62.04,C23*0.7*IF(C12="Produtores agrícolas com rendimentos exclusivos da agricultura",0.283,IF(C12="Trabalhadores independentes",0.296))/12)+I23*0.2/12*0.3475+C26*0.2*0.3475/12</f>
        <v>409.54</v>
      </c>
      <c r="S13" s="77"/>
      <c r="T13" s="66"/>
      <c r="U13" s="66"/>
      <c r="V13" s="66"/>
      <c r="W13" s="66"/>
      <c r="X13" s="66"/>
      <c r="Y13" s="66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66"/>
      <c r="AM13" s="66"/>
      <c r="AN13" s="66"/>
      <c r="AO13" s="66"/>
      <c r="AP13" s="66"/>
    </row>
    <row r="14" spans="1:42" ht="20" customHeight="1">
      <c r="A14" s="60"/>
      <c r="B14" s="107"/>
      <c r="C14" s="114" t="s">
        <v>17</v>
      </c>
      <c r="D14" s="109"/>
      <c r="E14" s="115"/>
      <c r="F14" s="115"/>
      <c r="G14" s="115"/>
      <c r="H14" s="115"/>
      <c r="I14" s="115"/>
      <c r="J14" s="115"/>
      <c r="K14" s="115"/>
      <c r="L14" s="115"/>
      <c r="M14" s="60"/>
      <c r="N14" s="72"/>
      <c r="O14" s="72"/>
      <c r="P14" s="72"/>
      <c r="Q14" s="73"/>
      <c r="R14" s="16"/>
      <c r="S14" s="17"/>
      <c r="T14" s="66"/>
      <c r="U14" s="66"/>
      <c r="V14" s="66"/>
      <c r="W14" s="66"/>
      <c r="X14" s="66"/>
      <c r="Y14" s="66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66"/>
      <c r="AM14" s="66"/>
      <c r="AN14" s="66"/>
      <c r="AO14" s="66"/>
      <c r="AP14" s="66"/>
    </row>
    <row r="15" spans="1:42" ht="20" customHeight="1">
      <c r="A15" s="60"/>
      <c r="B15" s="116"/>
      <c r="C15" s="117" t="s">
        <v>11</v>
      </c>
      <c r="D15" s="115"/>
      <c r="E15" s="115"/>
      <c r="F15" s="115"/>
      <c r="G15" s="115"/>
      <c r="H15" s="115"/>
      <c r="I15" s="115"/>
      <c r="J15" s="115"/>
      <c r="K15" s="115"/>
      <c r="L15" s="115"/>
      <c r="M15" s="60"/>
      <c r="N15" s="143" t="str">
        <f>IF(P10&lt;5030.64,R18,IF(P10&gt;5030.64,R17,""))</f>
        <v>Pode optar por escolher até dois escalões abaixo ou dois escalões acima da contribuição oficiosa definida pela Segurança Social</v>
      </c>
      <c r="O15" s="143"/>
      <c r="P15" s="143"/>
      <c r="Q15" s="143"/>
      <c r="R15" s="18"/>
      <c r="S15" s="18"/>
      <c r="T15" s="66"/>
      <c r="U15" s="66"/>
      <c r="V15" s="66"/>
      <c r="W15" s="66"/>
      <c r="X15" s="66"/>
      <c r="Y15" s="66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66"/>
      <c r="AM15" s="66"/>
      <c r="AN15" s="66"/>
      <c r="AO15" s="66"/>
      <c r="AP15" s="66"/>
    </row>
    <row r="16" spans="1:42" ht="20" customHeight="1">
      <c r="A16" s="60"/>
      <c r="B16" s="116"/>
      <c r="C16" s="112"/>
      <c r="D16" s="115"/>
      <c r="E16" s="115"/>
      <c r="F16" s="115"/>
      <c r="G16" s="115"/>
      <c r="H16" s="115"/>
      <c r="I16" s="115"/>
      <c r="J16" s="115"/>
      <c r="K16" s="115"/>
      <c r="L16" s="115"/>
      <c r="M16" s="60"/>
      <c r="N16" s="143"/>
      <c r="O16" s="143"/>
      <c r="P16" s="143"/>
      <c r="Q16" s="143"/>
      <c r="R16" s="17"/>
      <c r="S16" s="17" t="s">
        <v>31</v>
      </c>
      <c r="T16" s="66"/>
      <c r="U16" s="66"/>
      <c r="V16" s="74" t="s">
        <v>14</v>
      </c>
      <c r="W16" s="74"/>
      <c r="X16" s="74"/>
      <c r="Y16" s="74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66"/>
      <c r="AM16" s="66"/>
      <c r="AN16" s="66"/>
      <c r="AO16" s="66"/>
      <c r="AP16" s="66"/>
    </row>
    <row r="17" spans="1:42" ht="20" customHeight="1">
      <c r="A17" s="113"/>
      <c r="B17" s="118"/>
      <c r="C17" s="137"/>
      <c r="D17" s="200"/>
      <c r="E17" s="200"/>
      <c r="F17" s="200"/>
      <c r="G17" s="200"/>
      <c r="H17" s="200"/>
      <c r="I17" s="200"/>
      <c r="J17" s="200"/>
      <c r="K17" s="200"/>
      <c r="L17" s="200"/>
      <c r="M17" s="60"/>
      <c r="N17" s="143"/>
      <c r="O17" s="143"/>
      <c r="P17" s="143"/>
      <c r="Q17" s="143"/>
      <c r="R17" s="18" t="s">
        <v>61</v>
      </c>
      <c r="S17" s="18">
        <f>P10/12</f>
        <v>1000</v>
      </c>
      <c r="T17" s="50">
        <f>S17/419.22</f>
        <v>2.385382376795</v>
      </c>
      <c r="U17" s="66"/>
      <c r="V17" s="66"/>
      <c r="W17" s="66"/>
      <c r="X17" s="66"/>
      <c r="Y17" s="66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66"/>
      <c r="AM17" s="66"/>
      <c r="AN17" s="66"/>
      <c r="AO17" s="66"/>
      <c r="AP17" s="66"/>
    </row>
    <row r="18" spans="1:42" ht="21" customHeight="1">
      <c r="A18" s="60"/>
      <c r="B18" s="118"/>
      <c r="C18" s="119"/>
      <c r="D18" s="119"/>
      <c r="E18" s="120"/>
      <c r="F18" s="120"/>
      <c r="G18" s="121"/>
      <c r="H18" s="102"/>
      <c r="I18" s="102"/>
      <c r="J18" s="102"/>
      <c r="K18" s="102"/>
      <c r="L18" s="102"/>
      <c r="M18" s="60"/>
      <c r="N18" s="142" t="s">
        <v>63</v>
      </c>
      <c r="O18" s="142"/>
      <c r="P18" s="142"/>
      <c r="Q18" s="142"/>
      <c r="R18" s="66" t="s">
        <v>62</v>
      </c>
      <c r="S18" s="66"/>
      <c r="T18" s="66"/>
      <c r="U18" s="66"/>
      <c r="V18" s="66"/>
      <c r="W18" s="66"/>
      <c r="X18" s="66"/>
      <c r="Y18" s="66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66"/>
      <c r="AM18" s="66"/>
      <c r="AN18" s="66"/>
      <c r="AO18" s="66"/>
      <c r="AP18" s="66"/>
    </row>
    <row r="19" spans="1:42" ht="20" customHeight="1">
      <c r="A19" s="60"/>
      <c r="B19" s="99">
        <v>2</v>
      </c>
      <c r="C19" s="122" t="s">
        <v>24</v>
      </c>
      <c r="D19" s="119"/>
      <c r="E19" s="120"/>
      <c r="F19" s="120"/>
      <c r="G19" s="121"/>
      <c r="H19" s="102"/>
      <c r="I19" s="123"/>
      <c r="J19" s="123"/>
      <c r="K19" s="123"/>
      <c r="L19" s="102"/>
      <c r="M19" s="61"/>
      <c r="N19" s="176"/>
      <c r="O19" s="176"/>
      <c r="P19" s="176"/>
      <c r="Q19" s="176"/>
      <c r="R19" s="18"/>
      <c r="S19" s="18"/>
      <c r="T19" s="66"/>
      <c r="U19" s="66"/>
      <c r="V19" s="66"/>
      <c r="W19" s="66"/>
      <c r="X19" s="66"/>
      <c r="Y19" s="66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66"/>
      <c r="AM19" s="66"/>
      <c r="AN19" s="66"/>
      <c r="AO19" s="66"/>
      <c r="AP19" s="66"/>
    </row>
    <row r="20" spans="1:42" ht="20" customHeight="1">
      <c r="A20" s="60"/>
      <c r="B20" s="103"/>
      <c r="C20" s="112"/>
      <c r="D20" s="112"/>
      <c r="E20" s="112"/>
      <c r="F20" s="112"/>
      <c r="G20" s="112"/>
      <c r="H20" s="112"/>
      <c r="I20" s="112"/>
      <c r="J20" s="112"/>
      <c r="K20" s="112"/>
      <c r="L20" s="201"/>
      <c r="M20" s="61"/>
      <c r="N20" s="144" t="s">
        <v>68</v>
      </c>
      <c r="O20" s="153"/>
      <c r="P20" s="146" t="s">
        <v>68</v>
      </c>
      <c r="Q20" s="145"/>
      <c r="R20" s="66"/>
      <c r="S20" s="66"/>
      <c r="T20" s="66"/>
      <c r="U20" s="66"/>
      <c r="V20" s="66"/>
      <c r="W20" s="66"/>
      <c r="X20" s="66"/>
      <c r="Y20" s="66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66"/>
      <c r="AM20" s="66"/>
      <c r="AN20" s="66"/>
      <c r="AO20" s="66"/>
      <c r="AP20" s="66"/>
    </row>
    <row r="21" spans="1:42" ht="20" customHeight="1">
      <c r="A21" s="60"/>
      <c r="B21" s="107"/>
      <c r="C21" s="124" t="s">
        <v>37</v>
      </c>
      <c r="D21" s="124"/>
      <c r="E21" s="124"/>
      <c r="F21" s="109"/>
      <c r="G21" s="125"/>
      <c r="H21" s="125"/>
      <c r="I21" s="125"/>
      <c r="J21" s="125"/>
      <c r="K21" s="125"/>
      <c r="L21" s="202"/>
      <c r="M21" s="61"/>
      <c r="N21" s="144" t="str">
        <f>IF(OR(C12="",C15=""),"",IF(P10&lt;5030.64,A36,IF(R36=2,"-",IF(R36=3,A36,INDEX(A35:G46,R34,1)))))</f>
        <v>Escalão 2</v>
      </c>
      <c r="O21" s="154"/>
      <c r="P21" s="146">
        <f>IF(OR(C12="",C15=""),"",IF(P10&lt;5030.64,T37,IF(R36=2,"-",IF(R36=3,T34,T34))))</f>
        <v>218.52</v>
      </c>
      <c r="Q21" s="147"/>
      <c r="R21" s="66"/>
      <c r="S21" s="66"/>
      <c r="T21" s="66"/>
      <c r="U21" s="66"/>
      <c r="V21" s="66"/>
      <c r="W21" s="66"/>
      <c r="X21" s="66"/>
      <c r="Y21" s="66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66"/>
      <c r="AM21" s="66"/>
      <c r="AN21" s="66"/>
      <c r="AO21" s="66"/>
      <c r="AP21" s="66"/>
    </row>
    <row r="22" spans="1:42" ht="20" customHeight="1">
      <c r="A22" s="60"/>
      <c r="B22" s="126"/>
      <c r="C22" s="203" t="s">
        <v>25</v>
      </c>
      <c r="D22" s="114"/>
      <c r="E22" s="127" t="s">
        <v>22</v>
      </c>
      <c r="F22" s="127"/>
      <c r="G22" s="127"/>
      <c r="H22" s="127"/>
      <c r="I22" s="127"/>
      <c r="J22" s="127"/>
      <c r="K22" s="127"/>
      <c r="L22" s="204"/>
      <c r="M22" s="61"/>
      <c r="N22" s="148" t="str">
        <f>IF(OR(C12="",C15=""),"",IF(P10&lt;5030.64,"-",INDEX(A35:G46,R36,1)))</f>
        <v>Escalão 3</v>
      </c>
      <c r="O22" s="155"/>
      <c r="P22" s="150">
        <f>IF(OR(C12="",C15=""),"",IF(P10&lt;5030.64,"-",T36))</f>
        <v>291.36</v>
      </c>
      <c r="Q22" s="149"/>
      <c r="R22" s="66"/>
      <c r="S22" s="66"/>
      <c r="T22" s="66"/>
      <c r="U22" s="66"/>
      <c r="V22" s="66"/>
      <c r="W22" s="66"/>
      <c r="X22" s="66"/>
      <c r="Y22" s="66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66"/>
      <c r="AM22" s="66"/>
      <c r="AN22" s="66"/>
      <c r="AO22" s="66"/>
      <c r="AP22" s="66"/>
    </row>
    <row r="23" spans="1:42" ht="20" customHeight="1">
      <c r="A23" s="113"/>
      <c r="B23" s="125"/>
      <c r="C23" s="129"/>
      <c r="D23" s="130"/>
      <c r="E23" s="126"/>
      <c r="F23" s="126"/>
      <c r="G23" s="126"/>
      <c r="H23" s="126"/>
      <c r="I23" s="129"/>
      <c r="J23" s="109"/>
      <c r="K23" s="109"/>
      <c r="L23" s="205"/>
      <c r="M23" s="62"/>
      <c r="N23" s="151" t="str">
        <f>IF(OR(C12="",C15=""),"",IF(P10&lt;5030.64,"-",INDEX(A35:G46,R37,1)))</f>
        <v>Escalão 4</v>
      </c>
      <c r="O23" s="155"/>
      <c r="P23" s="152">
        <f>IF(OR(C12="",C15=""),"",IF(P10&lt;5030.64,"-",T37))</f>
        <v>364.2</v>
      </c>
      <c r="Q23" s="149"/>
      <c r="R23" s="51"/>
      <c r="S23" s="66"/>
      <c r="T23" s="66"/>
      <c r="U23" s="66"/>
      <c r="V23" s="66" t="s">
        <v>8</v>
      </c>
      <c r="W23" s="66" t="s">
        <v>8</v>
      </c>
      <c r="X23" s="66"/>
      <c r="Y23" s="66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66"/>
      <c r="AM23" s="66"/>
      <c r="AN23" s="66"/>
      <c r="AO23" s="66"/>
      <c r="AP23" s="66"/>
    </row>
    <row r="24" spans="1:42" ht="20" customHeight="1">
      <c r="A24" s="60"/>
      <c r="B24" s="125"/>
      <c r="C24" s="130"/>
      <c r="D24" s="130"/>
      <c r="E24" s="131"/>
      <c r="F24" s="131"/>
      <c r="G24" s="131"/>
      <c r="H24" s="131"/>
      <c r="I24" s="109"/>
      <c r="J24" s="206"/>
      <c r="K24" s="206"/>
      <c r="L24" s="205"/>
      <c r="M24" s="61"/>
      <c r="N24" s="151" t="str">
        <f>IF(OR(C12="",C15=""),"",IF(P10&lt;5030.64,"-",INDEX(A35:G46,R38,1)))</f>
        <v>Escalão 5</v>
      </c>
      <c r="O24" s="155"/>
      <c r="P24" s="152">
        <f>IF(OR(C12="",C15=""),"",IF(P10&lt;5030.64,"-",T38))</f>
        <v>437.04</v>
      </c>
      <c r="Q24" s="149"/>
      <c r="R24" s="51"/>
      <c r="S24" s="66"/>
      <c r="T24" s="66"/>
      <c r="U24" s="66"/>
      <c r="V24" s="66" t="s">
        <v>11</v>
      </c>
      <c r="W24" s="66" t="s">
        <v>4</v>
      </c>
      <c r="X24" s="66"/>
      <c r="Y24" s="66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66"/>
      <c r="AM24" s="66"/>
      <c r="AN24" s="66"/>
      <c r="AO24" s="66"/>
      <c r="AP24" s="66"/>
    </row>
    <row r="25" spans="1:42" ht="20" customHeight="1">
      <c r="A25" s="60"/>
      <c r="B25" s="107"/>
      <c r="C25" s="125" t="s">
        <v>38</v>
      </c>
      <c r="D25" s="109"/>
      <c r="E25" s="206"/>
      <c r="F25" s="132"/>
      <c r="G25" s="133"/>
      <c r="H25" s="207"/>
      <c r="I25" s="125" t="str">
        <f>IF(C15="Sim","Lucro tributável?","")</f>
        <v>Lucro tributável?</v>
      </c>
      <c r="J25" s="128"/>
      <c r="K25" s="109"/>
      <c r="L25" s="205"/>
      <c r="M25" s="61"/>
      <c r="N25" s="164"/>
      <c r="O25" s="156"/>
      <c r="P25" s="157"/>
      <c r="Q25" s="156"/>
      <c r="R25" s="52"/>
      <c r="S25" s="66"/>
      <c r="T25" s="66"/>
      <c r="U25" s="66"/>
      <c r="V25" s="66" t="s">
        <v>12</v>
      </c>
      <c r="W25" s="66" t="s">
        <v>5</v>
      </c>
      <c r="X25" s="66"/>
      <c r="Y25" s="66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66"/>
      <c r="AM25" s="66"/>
      <c r="AN25" s="66"/>
      <c r="AO25" s="66"/>
      <c r="AP25" s="66"/>
    </row>
    <row r="26" spans="1:42" ht="21" customHeight="1">
      <c r="A26" s="60"/>
      <c r="B26" s="112"/>
      <c r="C26" s="134">
        <v>60000</v>
      </c>
      <c r="D26" s="135"/>
      <c r="E26" s="135"/>
      <c r="F26" s="135"/>
      <c r="G26" s="206"/>
      <c r="H26" s="206"/>
      <c r="I26" s="136">
        <v>20000</v>
      </c>
      <c r="J26" s="206"/>
      <c r="K26" s="206"/>
      <c r="L26" s="201"/>
      <c r="M26" s="63"/>
      <c r="N26" s="143" t="str">
        <f>IF(P10&lt;2515.32,N40,N34)</f>
        <v>Se está a reiniciar atividade pode manter o mesmo valor de contribuição, se já tinha sido fixado no mês de outubro anterior à data de reinício</v>
      </c>
      <c r="O26" s="143"/>
      <c r="P26" s="143"/>
      <c r="Q26" s="143"/>
      <c r="R26" s="51"/>
      <c r="S26" s="66"/>
      <c r="T26" s="66"/>
      <c r="U26" s="66"/>
      <c r="V26" s="66"/>
      <c r="W26" s="66" t="s">
        <v>6</v>
      </c>
      <c r="X26" s="66"/>
      <c r="Y26" s="66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66"/>
      <c r="AM26" s="66"/>
      <c r="AN26" s="66"/>
      <c r="AO26" s="66"/>
      <c r="AP26" s="66"/>
    </row>
    <row r="27" spans="1:42" ht="22" customHeight="1">
      <c r="A27" s="60"/>
      <c r="B27" s="112"/>
      <c r="C27" s="206"/>
      <c r="D27" s="206"/>
      <c r="E27" s="206"/>
      <c r="F27" s="206"/>
      <c r="G27" s="206"/>
      <c r="H27" s="206"/>
      <c r="I27" s="206"/>
      <c r="J27" s="206"/>
      <c r="K27" s="206"/>
      <c r="L27" s="201"/>
      <c r="M27" s="63"/>
      <c r="N27" s="143"/>
      <c r="O27" s="143"/>
      <c r="P27" s="143"/>
      <c r="Q27" s="143"/>
      <c r="R27" s="66"/>
      <c r="S27" s="66"/>
      <c r="T27" s="66"/>
      <c r="U27" s="66"/>
      <c r="V27" s="66"/>
      <c r="W27" s="66" t="s">
        <v>7</v>
      </c>
      <c r="X27" s="66"/>
      <c r="Y27" s="66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66"/>
      <c r="AM27" s="66"/>
      <c r="AN27" s="66"/>
      <c r="AO27" s="66"/>
      <c r="AP27" s="66"/>
    </row>
    <row r="28" spans="1:42" ht="23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3"/>
      <c r="N28" s="177"/>
      <c r="O28" s="177"/>
      <c r="P28" s="177"/>
      <c r="Q28" s="177"/>
      <c r="R28" s="66"/>
      <c r="S28" s="66"/>
      <c r="T28" s="66"/>
      <c r="U28" s="66"/>
      <c r="V28" s="66"/>
      <c r="W28" s="66"/>
      <c r="X28" s="66"/>
      <c r="Y28" s="66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66"/>
      <c r="AM28" s="66"/>
      <c r="AN28" s="66"/>
      <c r="AO28" s="66"/>
      <c r="AP28" s="66"/>
    </row>
    <row r="29" spans="1:42" ht="21" customHeight="1">
      <c r="A29" s="113"/>
      <c r="B29" s="69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3"/>
      <c r="N29" s="63"/>
      <c r="O29" s="162"/>
      <c r="P29" s="162"/>
      <c r="Q29" s="162"/>
      <c r="R29" s="66"/>
      <c r="S29" s="66"/>
      <c r="T29" s="66"/>
      <c r="U29" s="66"/>
      <c r="V29" s="66"/>
      <c r="W29" s="66"/>
      <c r="X29" s="66"/>
      <c r="Y29" s="66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66"/>
      <c r="AM29" s="66"/>
      <c r="AN29" s="66"/>
      <c r="AO29" s="66"/>
      <c r="AP29" s="66"/>
    </row>
    <row r="30" spans="1:42" ht="20" customHeight="1">
      <c r="A30" s="6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0"/>
      <c r="N30" s="63"/>
      <c r="O30" s="63"/>
      <c r="P30" s="63"/>
      <c r="Q30" s="163"/>
      <c r="R30" s="66"/>
      <c r="S30" s="66"/>
      <c r="T30" s="66"/>
      <c r="U30" s="66"/>
      <c r="V30" s="66"/>
      <c r="W30" s="66" t="s">
        <v>8</v>
      </c>
      <c r="X30" s="66"/>
      <c r="Y30" s="66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66"/>
      <c r="AM30" s="66"/>
      <c r="AN30" s="66"/>
      <c r="AO30" s="66"/>
      <c r="AP30" s="66"/>
    </row>
    <row r="31" spans="1:42" ht="24" customHeight="1">
      <c r="A31" s="64"/>
      <c r="B31" s="208"/>
      <c r="C31" s="209"/>
      <c r="D31" s="52"/>
      <c r="E31" s="52"/>
      <c r="F31" s="102"/>
      <c r="G31" s="52"/>
      <c r="H31" s="52"/>
      <c r="I31" s="52"/>
      <c r="J31" s="52"/>
      <c r="K31" s="52"/>
      <c r="L31" s="52"/>
      <c r="M31" s="64"/>
      <c r="N31" s="185">
        <f>IF(OR(C12="",C15=""),"",INDEX(D38:G48,R36,1))</f>
        <v>1048.05</v>
      </c>
      <c r="O31" s="64"/>
      <c r="P31" s="186" t="s">
        <v>32</v>
      </c>
      <c r="Q31" s="187" t="str">
        <f>IF(OR(C12="",C15=""),"",INDEX(A35:G46,R36,1))</f>
        <v>Escalão 3</v>
      </c>
      <c r="R31" s="66"/>
      <c r="S31" s="66"/>
      <c r="T31" s="66"/>
      <c r="U31" s="66"/>
      <c r="V31" s="66"/>
      <c r="W31" s="66" t="s">
        <v>4</v>
      </c>
      <c r="X31" s="66"/>
      <c r="Y31" s="66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66"/>
      <c r="AM31" s="66"/>
      <c r="AN31" s="66"/>
      <c r="AO31" s="66"/>
      <c r="AP31" s="66"/>
    </row>
    <row r="32" spans="1:42" ht="20" customHeight="1">
      <c r="A32" s="64"/>
      <c r="B32" s="52"/>
      <c r="C32" s="118"/>
      <c r="D32" s="52"/>
      <c r="E32" s="210"/>
      <c r="F32" s="210"/>
      <c r="G32" s="210"/>
      <c r="H32" s="210"/>
      <c r="I32" s="211"/>
      <c r="J32" s="52"/>
      <c r="K32" s="52"/>
      <c r="L32" s="52"/>
      <c r="M32" s="64"/>
      <c r="N32" s="64"/>
      <c r="O32" s="188"/>
      <c r="P32" s="189"/>
      <c r="Q32" s="186"/>
      <c r="R32" s="66"/>
      <c r="S32" s="66"/>
      <c r="T32" s="66"/>
      <c r="U32" s="66"/>
      <c r="V32" s="66"/>
      <c r="W32" s="66" t="s">
        <v>5</v>
      </c>
      <c r="X32" s="66"/>
      <c r="Y32" s="66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66"/>
      <c r="AM32" s="66"/>
      <c r="AN32" s="66"/>
      <c r="AO32" s="66"/>
      <c r="AP32" s="66"/>
    </row>
    <row r="33" spans="1:42" ht="20" customHeight="1">
      <c r="A33" s="21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64"/>
      <c r="N33" s="178" t="s">
        <v>39</v>
      </c>
      <c r="O33" s="178"/>
      <c r="P33" s="178"/>
      <c r="Q33" s="178"/>
      <c r="R33" s="64">
        <f>R36-2</f>
        <v>2</v>
      </c>
      <c r="S33" s="64">
        <f>S34</f>
        <v>4</v>
      </c>
      <c r="T33" s="64">
        <f>INDEX(D37:G48,R33,S33)</f>
        <v>145.68</v>
      </c>
      <c r="U33" s="66"/>
      <c r="V33" s="21"/>
      <c r="W33" s="66" t="s">
        <v>9</v>
      </c>
      <c r="X33" s="66"/>
      <c r="Y33" s="66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66"/>
      <c r="AM33" s="66"/>
      <c r="AN33" s="66"/>
      <c r="AO33" s="66"/>
      <c r="AP33" s="66"/>
    </row>
    <row r="34" spans="1:42" ht="20" customHeight="1">
      <c r="A34" s="212"/>
      <c r="B34" s="64"/>
      <c r="C34" s="179"/>
      <c r="D34" s="213"/>
      <c r="E34" s="179"/>
      <c r="F34" s="179"/>
      <c r="G34" s="179"/>
      <c r="H34" s="179"/>
      <c r="I34" s="179"/>
      <c r="J34" s="179"/>
      <c r="K34" s="179"/>
      <c r="L34" s="179"/>
      <c r="M34" s="179"/>
      <c r="N34" s="180" t="s">
        <v>65</v>
      </c>
      <c r="O34" s="180"/>
      <c r="P34" s="180"/>
      <c r="Q34" s="180"/>
      <c r="R34" s="64">
        <f>R36-1</f>
        <v>3</v>
      </c>
      <c r="S34" s="64">
        <f>S36</f>
        <v>4</v>
      </c>
      <c r="T34" s="194">
        <f>INDEX(D37:G48,R34,S34)</f>
        <v>218.52</v>
      </c>
      <c r="U34" s="66"/>
      <c r="V34" s="21"/>
      <c r="W34" s="66" t="s">
        <v>10</v>
      </c>
      <c r="X34" s="66"/>
      <c r="Y34" s="66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66"/>
      <c r="AM34" s="66"/>
      <c r="AN34" s="66"/>
      <c r="AO34" s="66"/>
      <c r="AP34" s="66"/>
    </row>
    <row r="35" spans="1:42" ht="20" customHeight="1">
      <c r="A35" s="64" t="s">
        <v>60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179"/>
      <c r="N35" s="180"/>
      <c r="O35" s="180"/>
      <c r="P35" s="180"/>
      <c r="Q35" s="180"/>
      <c r="R35" s="64" t="s">
        <v>28</v>
      </c>
      <c r="S35" s="64" t="s">
        <v>29</v>
      </c>
      <c r="T35" s="64" t="s">
        <v>30</v>
      </c>
      <c r="U35" s="66"/>
      <c r="V35" s="21"/>
      <c r="W35" s="66"/>
      <c r="X35" s="66"/>
      <c r="Y35" s="66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66"/>
      <c r="AM35" s="66"/>
      <c r="AN35" s="66"/>
      <c r="AO35" s="66"/>
      <c r="AP35" s="66"/>
    </row>
    <row r="36" spans="1:42">
      <c r="A36" s="64" t="s">
        <v>48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139"/>
      <c r="N36" s="181" t="s">
        <v>66</v>
      </c>
      <c r="O36" s="181"/>
      <c r="P36" s="181"/>
      <c r="Q36" s="181"/>
      <c r="R36" s="64">
        <f>IF(P10&lt;5030.64,1,IF(SUM(C38:C48)=0,B48,IF(LOOKUP(MIN(C38:C48),C38:C48,B38:B48)&gt;1,LOOKUP(MIN(C38:C48),C38:C48,B38:B48)-1,IF(LOOKUP(MIN(C38:C48),C38:C48,B38:B48)&lt;=1,LOOKUP(MIN(C38:C48),C38:C48,B38:B48)))))</f>
        <v>4</v>
      </c>
      <c r="S36" s="64">
        <f>IF(C12="Prestadores de serviços",2,IF(C12="Empresários em nome individual com rendimentos exclusivos de atividade comercial ou industrial",4,IF(C12="Produtores agrícolas com rendimentos exclusivos da agricultura",3,IF(C12="Titulares de estabelecimento individual de responsabilidade limitada (EIRL)",4))))</f>
        <v>4</v>
      </c>
      <c r="T36" s="64">
        <f>INDEX(D37:G48,R36,S36)</f>
        <v>291.36</v>
      </c>
      <c r="U36" s="66"/>
      <c r="V36" s="21"/>
      <c r="W36" s="66"/>
      <c r="X36" s="66"/>
      <c r="Y36" s="6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66"/>
      <c r="AM36" s="66"/>
      <c r="AN36" s="66"/>
      <c r="AO36" s="66"/>
      <c r="AP36" s="66"/>
    </row>
    <row r="37" spans="1:42">
      <c r="A37" s="64" t="s">
        <v>49</v>
      </c>
      <c r="B37" s="64">
        <v>1</v>
      </c>
      <c r="C37" s="214" t="str">
        <f>IF(D37-$S$17&lt;0,"",D37-$S$17)</f>
        <v/>
      </c>
      <c r="D37" s="194">
        <f>419.22/2</f>
        <v>209.61</v>
      </c>
      <c r="E37" s="64">
        <f>MAX(D37*0.296,62.04)</f>
        <v>62.044560000000004</v>
      </c>
      <c r="F37" s="64">
        <f>MAX(D37*0.283,59.32)</f>
        <v>59.32</v>
      </c>
      <c r="G37" s="64">
        <f>MAX(D37*0.3475,72.84)</f>
        <v>72.84</v>
      </c>
      <c r="H37" s="64"/>
      <c r="I37" s="64"/>
      <c r="J37" s="64"/>
      <c r="K37" s="64"/>
      <c r="L37" s="64"/>
      <c r="M37" s="64"/>
      <c r="N37" s="181"/>
      <c r="O37" s="181"/>
      <c r="P37" s="181"/>
      <c r="Q37" s="181"/>
      <c r="R37" s="64">
        <f>R36+1</f>
        <v>5</v>
      </c>
      <c r="S37" s="64"/>
      <c r="T37" s="64">
        <f>INDEX(D37:G48,R37,S36)</f>
        <v>364.2</v>
      </c>
      <c r="U37" s="66"/>
      <c r="V37" s="21"/>
      <c r="W37" s="19" t="s">
        <v>13</v>
      </c>
      <c r="X37" s="66">
        <v>1</v>
      </c>
      <c r="Y37" s="66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66"/>
      <c r="AM37" s="66"/>
      <c r="AN37" s="66"/>
      <c r="AO37" s="66"/>
      <c r="AP37" s="66"/>
    </row>
    <row r="38" spans="1:42">
      <c r="A38" s="64" t="s">
        <v>50</v>
      </c>
      <c r="B38" s="215">
        <v>2</v>
      </c>
      <c r="C38" s="214" t="str">
        <f>IF(D38-$S$17&lt;0,"",D38-$S$17)</f>
        <v/>
      </c>
      <c r="D38" s="216">
        <v>419.22</v>
      </c>
      <c r="E38" s="216">
        <v>124.09</v>
      </c>
      <c r="F38" s="216">
        <v>118.64</v>
      </c>
      <c r="G38" s="216">
        <v>145.68</v>
      </c>
      <c r="H38" s="64"/>
      <c r="I38" s="64"/>
      <c r="J38" s="64"/>
      <c r="K38" s="64" t="str">
        <f>IF(C12="Prestadores de serviços","tind",IF(C12="Empresários em nome individual com rendimentos exclusivos de atividade comercial ou industrial","eirl",IF(C12="Produtores agrícolas com rendimentos exclusivos da agricultura","agric",IF(C12="Titulares de estabelecimento individual de responsabilidade limitada (EIRL)","eirl"))))</f>
        <v>eirl</v>
      </c>
      <c r="L38" s="64"/>
      <c r="M38" s="64"/>
      <c r="N38" s="182"/>
      <c r="O38" s="182"/>
      <c r="P38" s="182"/>
      <c r="Q38" s="182"/>
      <c r="R38" s="138">
        <f>R36+2</f>
        <v>6</v>
      </c>
      <c r="S38" s="138"/>
      <c r="T38" s="138">
        <f>INDEX(D37:G48,R38,S36)</f>
        <v>437.04</v>
      </c>
      <c r="U38" s="66"/>
      <c r="V38" s="21"/>
      <c r="W38" s="66"/>
      <c r="X38" s="66"/>
      <c r="Y38" s="66"/>
      <c r="Z38" s="21"/>
      <c r="AA38" s="21"/>
      <c r="AB38" s="66"/>
      <c r="AC38" s="66"/>
      <c r="AD38" s="66"/>
      <c r="AE38" s="66"/>
      <c r="AF38" s="66"/>
    </row>
    <row r="39" spans="1:42">
      <c r="A39" s="64" t="s">
        <v>51</v>
      </c>
      <c r="B39" s="215">
        <v>3</v>
      </c>
      <c r="C39" s="214" t="str">
        <f>IF(D39-$S$17&lt;0,"",D39-$S$17)</f>
        <v/>
      </c>
      <c r="D39" s="216">
        <v>628.83000000000004</v>
      </c>
      <c r="E39" s="216">
        <v>186.13</v>
      </c>
      <c r="F39" s="216">
        <v>177.96</v>
      </c>
      <c r="G39" s="216">
        <v>218.52</v>
      </c>
      <c r="H39" s="64"/>
      <c r="I39" s="64"/>
      <c r="J39" s="64"/>
      <c r="K39" s="64"/>
      <c r="L39" s="64"/>
      <c r="M39" s="64"/>
      <c r="N39" s="182"/>
      <c r="O39" s="182"/>
      <c r="P39" s="182"/>
      <c r="Q39" s="182"/>
      <c r="R39" s="64" t="e">
        <f>IF(C12="Prestadores de serviços",LOOKUP(I32,tind,B38:B48),IF(C12="Empresários em nome individual com rendimentos exclusivos de atividade comercial ou industrial",LOOKUP(I32,eirl,B38:B48),IF(C12="Produtores agrícolas com rendimentos exclusivos da agricultura",LOOKUP(I32,agric,B38:B48),IF(C12="Titulares de estabelecimento individual de responsabilidade limitada (EIRL)",LOOKUP(I32,eirl,B38:B48)))))</f>
        <v>#N/A</v>
      </c>
      <c r="S39" s="64"/>
      <c r="T39" s="64" t="e">
        <f>INDEX(D38:G48,R39+1,S36)</f>
        <v>#N/A</v>
      </c>
      <c r="U39" s="66"/>
      <c r="V39" s="21"/>
      <c r="W39" s="66"/>
      <c r="X39" s="66"/>
      <c r="Y39" s="66"/>
      <c r="Z39" s="21"/>
      <c r="AA39" s="21"/>
      <c r="AB39" s="66"/>
      <c r="AC39" s="66"/>
      <c r="AD39" s="66"/>
      <c r="AE39" s="66"/>
      <c r="AF39" s="66"/>
    </row>
    <row r="40" spans="1:42" ht="56">
      <c r="A40" s="64" t="s">
        <v>52</v>
      </c>
      <c r="B40" s="215">
        <v>4</v>
      </c>
      <c r="C40" s="214" t="str">
        <f>IF(D40-$S$17&lt;0,"",D40-$S$17)</f>
        <v/>
      </c>
      <c r="D40" s="216">
        <v>838.44</v>
      </c>
      <c r="E40" s="216">
        <v>248.18</v>
      </c>
      <c r="F40" s="216">
        <v>237.28</v>
      </c>
      <c r="G40" s="216">
        <v>291.36</v>
      </c>
      <c r="H40" s="64"/>
      <c r="I40" s="64"/>
      <c r="J40" s="64"/>
      <c r="K40" s="64"/>
      <c r="L40" s="64"/>
      <c r="M40" s="64"/>
      <c r="N40" s="182" t="s">
        <v>64</v>
      </c>
      <c r="O40" s="182"/>
      <c r="P40" s="182"/>
      <c r="Q40" s="182"/>
      <c r="R40" s="64"/>
      <c r="S40" s="64"/>
      <c r="T40" s="64"/>
      <c r="U40" s="66"/>
      <c r="V40" s="21"/>
      <c r="W40" s="66"/>
      <c r="X40" s="66"/>
      <c r="Y40" s="66"/>
      <c r="Z40" s="21"/>
      <c r="AA40" s="21"/>
      <c r="AB40" s="66"/>
      <c r="AC40" s="66"/>
      <c r="AD40" s="66"/>
      <c r="AE40" s="66"/>
      <c r="AF40" s="66"/>
    </row>
    <row r="41" spans="1:42">
      <c r="A41" s="64" t="s">
        <v>53</v>
      </c>
      <c r="B41" s="215">
        <v>5</v>
      </c>
      <c r="C41" s="214">
        <f t="shared" ref="C41:C48" si="0">IF(D41-$S$17&lt;0,"",D41-$S$17)</f>
        <v>48.049999999999955</v>
      </c>
      <c r="D41" s="216">
        <v>1048.05</v>
      </c>
      <c r="E41" s="216">
        <v>310.22000000000003</v>
      </c>
      <c r="F41" s="216">
        <v>296.60000000000002</v>
      </c>
      <c r="G41" s="216">
        <v>364.2</v>
      </c>
      <c r="H41" s="64"/>
      <c r="I41" s="64"/>
      <c r="J41" s="64"/>
      <c r="K41" s="64"/>
      <c r="L41" s="64"/>
      <c r="M41" s="64"/>
      <c r="N41" s="183"/>
      <c r="O41" s="183"/>
      <c r="P41" s="183"/>
      <c r="Q41" s="183"/>
      <c r="R41" s="64"/>
      <c r="S41" s="64"/>
      <c r="T41" s="64"/>
      <c r="U41" s="66"/>
      <c r="V41" s="21"/>
      <c r="W41" s="66"/>
      <c r="X41" s="66"/>
      <c r="Y41" s="66"/>
      <c r="Z41" s="21"/>
      <c r="AA41" s="21"/>
      <c r="AB41" s="66"/>
      <c r="AC41" s="66"/>
      <c r="AD41" s="66"/>
      <c r="AE41" s="66"/>
      <c r="AF41" s="66"/>
    </row>
    <row r="42" spans="1:42">
      <c r="A42" s="64" t="s">
        <v>54</v>
      </c>
      <c r="B42" s="215">
        <v>6</v>
      </c>
      <c r="C42" s="214">
        <f t="shared" si="0"/>
        <v>257.66000000000008</v>
      </c>
      <c r="D42" s="216">
        <v>1257.6600000000001</v>
      </c>
      <c r="E42" s="216">
        <v>372.27</v>
      </c>
      <c r="F42" s="216">
        <v>355.92</v>
      </c>
      <c r="G42" s="216">
        <v>437.04</v>
      </c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7"/>
      <c r="S42" s="67"/>
      <c r="T42" s="67"/>
      <c r="U42" s="21"/>
      <c r="V42" s="21"/>
      <c r="W42" s="66"/>
      <c r="X42" s="66"/>
      <c r="Y42" s="66"/>
      <c r="Z42" s="21"/>
      <c r="AA42" s="21"/>
      <c r="AB42" s="66"/>
      <c r="AC42" s="66"/>
      <c r="AD42" s="66"/>
      <c r="AE42" s="66"/>
      <c r="AF42" s="66"/>
    </row>
    <row r="43" spans="1:42">
      <c r="A43" s="64" t="s">
        <v>55</v>
      </c>
      <c r="B43" s="215">
        <v>7</v>
      </c>
      <c r="C43" s="214">
        <f t="shared" si="0"/>
        <v>676.88000000000011</v>
      </c>
      <c r="D43" s="216">
        <v>1676.88</v>
      </c>
      <c r="E43" s="216">
        <v>496.36</v>
      </c>
      <c r="F43" s="216">
        <v>474.56</v>
      </c>
      <c r="G43" s="216">
        <v>582.72</v>
      </c>
      <c r="H43" s="64"/>
      <c r="I43" s="64"/>
      <c r="J43" s="64"/>
      <c r="K43" s="64"/>
      <c r="L43" s="64"/>
      <c r="M43" s="193"/>
      <c r="N43" s="64"/>
      <c r="O43" s="64"/>
      <c r="P43" s="64"/>
      <c r="Q43" s="64"/>
      <c r="R43" s="67"/>
      <c r="S43" s="67"/>
      <c r="T43" s="67"/>
      <c r="U43" s="21"/>
      <c r="V43" s="21"/>
      <c r="W43" s="66"/>
      <c r="X43" s="66"/>
      <c r="Y43" s="66"/>
      <c r="Z43" s="21"/>
      <c r="AA43" s="21"/>
      <c r="AB43" s="66"/>
      <c r="AC43" s="66"/>
      <c r="AD43" s="66"/>
      <c r="AE43" s="66"/>
      <c r="AF43" s="66"/>
    </row>
    <row r="44" spans="1:42">
      <c r="A44" s="64" t="s">
        <v>56</v>
      </c>
      <c r="B44" s="215">
        <v>8</v>
      </c>
      <c r="C44" s="214">
        <f t="shared" si="0"/>
        <v>1096.0999999999999</v>
      </c>
      <c r="D44" s="216">
        <v>2096.1</v>
      </c>
      <c r="E44" s="216">
        <v>620.45000000000005</v>
      </c>
      <c r="F44" s="216">
        <v>593.20000000000005</v>
      </c>
      <c r="G44" s="216">
        <v>728.39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21"/>
      <c r="S44" s="21"/>
      <c r="T44" s="21"/>
      <c r="U44" s="21"/>
      <c r="V44" s="21"/>
      <c r="W44" s="66"/>
      <c r="X44" s="66"/>
      <c r="Y44" s="66"/>
      <c r="Z44" s="21"/>
      <c r="AA44" s="21"/>
      <c r="AB44" s="66"/>
      <c r="AC44" s="66"/>
      <c r="AD44" s="66"/>
      <c r="AE44" s="66"/>
      <c r="AF44" s="66"/>
    </row>
    <row r="45" spans="1:42">
      <c r="A45" s="64" t="s">
        <v>57</v>
      </c>
      <c r="B45" s="215">
        <v>9</v>
      </c>
      <c r="C45" s="214">
        <f t="shared" si="0"/>
        <v>1515.3200000000002</v>
      </c>
      <c r="D45" s="216">
        <v>2515.3200000000002</v>
      </c>
      <c r="E45" s="216">
        <v>744.53</v>
      </c>
      <c r="F45" s="216">
        <v>711.84</v>
      </c>
      <c r="G45" s="216">
        <v>874.07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21"/>
      <c r="S45" s="21"/>
      <c r="T45" s="21"/>
      <c r="U45" s="21"/>
      <c r="V45" s="21"/>
      <c r="W45" s="66"/>
      <c r="X45" s="66"/>
      <c r="Y45" s="66"/>
      <c r="Z45" s="21"/>
      <c r="AA45" s="21"/>
      <c r="AB45" s="66"/>
      <c r="AC45" s="66"/>
      <c r="AD45" s="66"/>
      <c r="AE45" s="66"/>
      <c r="AF45" s="66"/>
    </row>
    <row r="46" spans="1:42">
      <c r="A46" s="64" t="s">
        <v>58</v>
      </c>
      <c r="B46" s="215">
        <v>10</v>
      </c>
      <c r="C46" s="214">
        <f t="shared" si="0"/>
        <v>2353.7600000000002</v>
      </c>
      <c r="D46" s="216">
        <v>3353.76</v>
      </c>
      <c r="E46" s="216">
        <v>992.71</v>
      </c>
      <c r="F46" s="216">
        <v>949.11</v>
      </c>
      <c r="G46" s="216">
        <v>1165.43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21"/>
      <c r="S46" s="21"/>
      <c r="T46" s="21"/>
      <c r="U46" s="21"/>
      <c r="V46" s="21"/>
      <c r="W46" s="66"/>
      <c r="X46" s="66"/>
      <c r="Y46" s="66"/>
      <c r="Z46" s="21"/>
      <c r="AA46" s="21"/>
      <c r="AB46" s="66"/>
      <c r="AC46" s="66"/>
      <c r="AD46" s="66"/>
      <c r="AE46" s="66"/>
      <c r="AF46" s="66"/>
    </row>
    <row r="47" spans="1:42">
      <c r="A47" s="184"/>
      <c r="B47" s="191">
        <v>11</v>
      </c>
      <c r="C47" s="190">
        <f t="shared" si="0"/>
        <v>3192.2</v>
      </c>
      <c r="D47" s="192">
        <v>4192.2</v>
      </c>
      <c r="E47" s="192">
        <v>1240.8900000000001</v>
      </c>
      <c r="F47" s="192">
        <v>1186.3900000000001</v>
      </c>
      <c r="G47" s="192">
        <v>1456.79</v>
      </c>
      <c r="H47" s="64"/>
      <c r="I47" s="64"/>
      <c r="J47" s="64"/>
      <c r="K47" s="64"/>
      <c r="L47" s="64"/>
      <c r="M47" s="64"/>
      <c r="N47" s="184"/>
      <c r="O47" s="184"/>
      <c r="P47" s="184"/>
      <c r="Q47" s="64"/>
      <c r="R47" s="21"/>
      <c r="S47" s="21"/>
      <c r="T47" s="21"/>
      <c r="U47" s="21"/>
      <c r="V47" s="21"/>
      <c r="W47" s="66"/>
      <c r="X47" s="66"/>
      <c r="Y47" s="66"/>
      <c r="Z47" s="21"/>
      <c r="AA47" s="21"/>
      <c r="AB47" s="66"/>
      <c r="AC47" s="66"/>
      <c r="AD47" s="66"/>
      <c r="AE47" s="66"/>
      <c r="AF47" s="66"/>
    </row>
    <row r="48" spans="1:42">
      <c r="A48" s="184"/>
      <c r="B48" s="191">
        <v>12</v>
      </c>
      <c r="C48" s="190">
        <f t="shared" si="0"/>
        <v>4030.6400000000003</v>
      </c>
      <c r="D48" s="192">
        <v>5030.6400000000003</v>
      </c>
      <c r="E48" s="192">
        <v>1489.07</v>
      </c>
      <c r="F48" s="192">
        <v>1423.67</v>
      </c>
      <c r="G48" s="192">
        <v>1748.15</v>
      </c>
      <c r="H48" s="184"/>
      <c r="I48" s="184"/>
      <c r="J48" s="184"/>
      <c r="K48" s="184"/>
      <c r="L48" s="184"/>
      <c r="M48" s="184"/>
      <c r="N48" s="64"/>
      <c r="O48" s="64"/>
      <c r="P48" s="64">
        <f>MAX(INDEX(D37:G48,3,S36),T36)</f>
        <v>291.36</v>
      </c>
      <c r="Q48" s="64"/>
      <c r="R48" s="21"/>
      <c r="S48" s="21"/>
      <c r="T48" s="21"/>
      <c r="U48" s="21"/>
      <c r="V48" s="21"/>
      <c r="W48" s="66"/>
      <c r="X48" s="66"/>
      <c r="Y48" s="66"/>
      <c r="Z48" s="21"/>
      <c r="AA48" s="21"/>
      <c r="AB48" s="66"/>
      <c r="AC48" s="66"/>
      <c r="AD48" s="66"/>
      <c r="AE48" s="66"/>
      <c r="AF48" s="66"/>
    </row>
    <row r="49" spans="1:42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64"/>
      <c r="O49" s="64"/>
      <c r="P49" s="64"/>
      <c r="Q49" s="64"/>
      <c r="R49" s="66"/>
      <c r="S49" s="66"/>
      <c r="T49" s="66"/>
      <c r="U49" s="66"/>
      <c r="V49" s="66"/>
      <c r="W49" s="66"/>
      <c r="X49" s="66"/>
      <c r="Y49" s="6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66"/>
      <c r="AM49" s="66"/>
      <c r="AN49" s="66"/>
      <c r="AO49" s="66"/>
      <c r="AP49" s="66"/>
    </row>
    <row r="50" spans="1:42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64"/>
      <c r="O50" s="64"/>
      <c r="P50" s="64"/>
      <c r="Q50" s="64"/>
      <c r="R50" s="66"/>
      <c r="S50" s="66"/>
      <c r="T50" s="66"/>
      <c r="U50" s="66"/>
      <c r="V50" s="66"/>
      <c r="W50" s="66"/>
      <c r="X50" s="66"/>
      <c r="Y50" s="6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66"/>
      <c r="AM50" s="66"/>
      <c r="AN50" s="66"/>
      <c r="AO50" s="66"/>
      <c r="AP50" s="66"/>
    </row>
    <row r="51" spans="1:42">
      <c r="B51" s="184"/>
      <c r="C51" s="184"/>
      <c r="D51" s="184"/>
      <c r="E51" s="184"/>
      <c r="F51" s="184"/>
      <c r="G51" s="184"/>
      <c r="H51" s="184"/>
      <c r="I51" s="192"/>
      <c r="J51" s="184"/>
      <c r="K51" s="184"/>
      <c r="L51" s="184"/>
      <c r="M51" s="184"/>
      <c r="N51" s="64"/>
      <c r="O51" s="64"/>
      <c r="P51" s="64"/>
      <c r="Q51" s="64"/>
      <c r="R51" s="66"/>
      <c r="S51" s="66"/>
      <c r="T51" s="66"/>
      <c r="U51" s="66"/>
      <c r="V51" s="66"/>
      <c r="W51" s="66"/>
      <c r="X51" s="66"/>
      <c r="Y51" s="6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66"/>
      <c r="AM51" s="66"/>
      <c r="AN51" s="66"/>
      <c r="AO51" s="66"/>
      <c r="AP51" s="66"/>
    </row>
    <row r="52" spans="1:42">
      <c r="B52" s="184"/>
      <c r="C52" s="184"/>
      <c r="D52" s="184"/>
      <c r="E52" s="184"/>
      <c r="F52" s="184"/>
      <c r="G52" s="184"/>
      <c r="H52" s="184"/>
      <c r="I52" s="192"/>
      <c r="J52" s="184"/>
      <c r="K52" s="184"/>
      <c r="L52" s="184"/>
      <c r="M52" s="184"/>
      <c r="N52" s="64"/>
      <c r="O52" s="64"/>
      <c r="P52" s="64"/>
      <c r="Q52" s="64"/>
      <c r="R52" s="66"/>
      <c r="S52" s="66"/>
      <c r="T52" s="66"/>
      <c r="U52" s="66"/>
      <c r="V52" s="66"/>
      <c r="W52" s="66"/>
      <c r="X52" s="66"/>
      <c r="Y52" s="6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66"/>
      <c r="AM52" s="66"/>
      <c r="AN52" s="66"/>
      <c r="AO52" s="66"/>
      <c r="AP52" s="66"/>
    </row>
    <row r="53" spans="1:42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21"/>
      <c r="O53" s="21"/>
      <c r="P53" s="21"/>
      <c r="Q53" s="21"/>
      <c r="R53" s="66"/>
      <c r="S53" s="66"/>
      <c r="T53" s="66"/>
      <c r="U53" s="66"/>
      <c r="V53" s="66"/>
      <c r="W53" s="66"/>
      <c r="X53" s="66"/>
      <c r="Y53" s="6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66"/>
      <c r="AM53" s="66"/>
      <c r="AN53" s="66"/>
      <c r="AO53" s="66"/>
      <c r="AP53" s="66"/>
    </row>
    <row r="54" spans="1:42"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N54" s="21"/>
      <c r="O54" s="21"/>
      <c r="P54" s="21"/>
      <c r="Q54" s="21"/>
      <c r="R54" s="66"/>
      <c r="S54" s="66"/>
      <c r="T54" s="66"/>
      <c r="U54" s="66"/>
      <c r="V54" s="66"/>
      <c r="W54" s="66"/>
      <c r="X54" s="66"/>
      <c r="Y54" s="6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66"/>
      <c r="AM54" s="66"/>
      <c r="AN54" s="66"/>
      <c r="AO54" s="66"/>
      <c r="AP54" s="66"/>
    </row>
    <row r="55" spans="1:42"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66"/>
      <c r="AM55" s="66"/>
      <c r="AN55" s="66"/>
      <c r="AO55" s="66"/>
      <c r="AP55" s="66"/>
    </row>
    <row r="56" spans="1:42">
      <c r="N56" s="21"/>
      <c r="O56" s="66"/>
      <c r="P56" s="66"/>
      <c r="Q56" s="66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66"/>
      <c r="AM56" s="66"/>
      <c r="AN56" s="66"/>
      <c r="AO56" s="66"/>
      <c r="AP56" s="66"/>
    </row>
    <row r="57" spans="1:42">
      <c r="N57" s="21"/>
      <c r="O57" s="66"/>
      <c r="P57" s="66"/>
      <c r="Q57" s="66"/>
      <c r="R57" s="21"/>
      <c r="S57" s="21"/>
      <c r="T57" s="21"/>
      <c r="U57" s="21"/>
      <c r="V57" s="22"/>
      <c r="W57" s="22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66"/>
      <c r="AM57" s="66"/>
      <c r="AN57" s="66"/>
      <c r="AO57" s="66"/>
      <c r="AP57" s="66"/>
    </row>
    <row r="58" spans="1:42">
      <c r="N58" s="21"/>
      <c r="O58" s="48"/>
      <c r="P58" s="48"/>
      <c r="Q58" s="48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66"/>
      <c r="AM58" s="66"/>
      <c r="AN58" s="66"/>
      <c r="AO58" s="66"/>
      <c r="AP58" s="66"/>
    </row>
    <row r="59" spans="1:42">
      <c r="N59" s="53"/>
      <c r="O59" s="48"/>
      <c r="P59" s="48"/>
      <c r="Q59" s="48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66"/>
      <c r="AM59" s="66"/>
      <c r="AN59" s="66"/>
      <c r="AO59" s="66"/>
      <c r="AP59" s="66"/>
    </row>
    <row r="60" spans="1:42">
      <c r="N60" s="53"/>
      <c r="O60" s="48"/>
      <c r="P60" s="48"/>
      <c r="Q60" s="4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66"/>
      <c r="AM60" s="66"/>
      <c r="AN60" s="66"/>
      <c r="AO60" s="66"/>
      <c r="AP60" s="66"/>
    </row>
    <row r="61" spans="1:42">
      <c r="N61" s="53"/>
      <c r="O61" s="48"/>
      <c r="P61" s="48"/>
      <c r="Q61" s="4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66"/>
      <c r="AM61" s="66"/>
      <c r="AN61" s="66"/>
      <c r="AO61" s="66"/>
      <c r="AP61" s="66"/>
    </row>
    <row r="62" spans="1:42">
      <c r="N62" s="53"/>
      <c r="O62" s="48"/>
      <c r="P62" s="48"/>
      <c r="Q62" s="4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66"/>
      <c r="AM62" s="66"/>
      <c r="AN62" s="66"/>
      <c r="AO62" s="66"/>
      <c r="AP62" s="66"/>
    </row>
    <row r="63" spans="1:42">
      <c r="N63" s="48"/>
      <c r="O63" s="48"/>
      <c r="P63" s="48"/>
      <c r="Q63" s="48"/>
      <c r="R63" s="21"/>
      <c r="S63" s="21"/>
      <c r="T63" s="21"/>
      <c r="U63" s="21"/>
      <c r="V63" s="22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66"/>
      <c r="AM63" s="66"/>
      <c r="AN63" s="66"/>
      <c r="AO63" s="66"/>
      <c r="AP63" s="66"/>
    </row>
    <row r="64" spans="1:42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66"/>
      <c r="AM64" s="66"/>
      <c r="AN64" s="66"/>
      <c r="AO64" s="66"/>
      <c r="AP64" s="66"/>
    </row>
    <row r="65" spans="18:42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66"/>
      <c r="AM65" s="66"/>
      <c r="AN65" s="66"/>
      <c r="AO65" s="66"/>
      <c r="AP65" s="66"/>
    </row>
    <row r="66" spans="18:42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66"/>
      <c r="AM66" s="66"/>
      <c r="AN66" s="66"/>
      <c r="AO66" s="66"/>
      <c r="AP66" s="66"/>
    </row>
    <row r="67" spans="18:42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66"/>
      <c r="AM67" s="66"/>
      <c r="AN67" s="66"/>
      <c r="AO67" s="66"/>
      <c r="AP67" s="66"/>
    </row>
    <row r="68" spans="18:42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66"/>
      <c r="AM68" s="66"/>
      <c r="AN68" s="66"/>
      <c r="AO68" s="66"/>
      <c r="AP68" s="66"/>
    </row>
    <row r="69" spans="18:42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66"/>
      <c r="AM69" s="66"/>
      <c r="AN69" s="66"/>
      <c r="AO69" s="66"/>
      <c r="AP69" s="66"/>
    </row>
    <row r="70" spans="18:42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66"/>
      <c r="AM70" s="66"/>
      <c r="AN70" s="66"/>
      <c r="AO70" s="66"/>
      <c r="AP70" s="66"/>
    </row>
    <row r="71" spans="18:42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66"/>
      <c r="AM71" s="66"/>
      <c r="AN71" s="66"/>
      <c r="AO71" s="66"/>
      <c r="AP71" s="66"/>
    </row>
    <row r="72" spans="18:42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66"/>
      <c r="AM72" s="66"/>
      <c r="AN72" s="66"/>
      <c r="AO72" s="66"/>
      <c r="AP72" s="66"/>
    </row>
    <row r="73" spans="18:42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66"/>
      <c r="AM73" s="66"/>
      <c r="AN73" s="66"/>
      <c r="AO73" s="66"/>
      <c r="AP73" s="66"/>
    </row>
    <row r="74" spans="18:42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66"/>
      <c r="AM74" s="66"/>
      <c r="AN74" s="66"/>
      <c r="AO74" s="66"/>
      <c r="AP74" s="66"/>
    </row>
    <row r="75" spans="18:42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66"/>
      <c r="AM75" s="66"/>
      <c r="AN75" s="66"/>
      <c r="AO75" s="66"/>
      <c r="AP75" s="66"/>
    </row>
    <row r="76" spans="18:42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66"/>
      <c r="AM76" s="66"/>
      <c r="AN76" s="66"/>
      <c r="AO76" s="66"/>
      <c r="AP76" s="66"/>
    </row>
    <row r="77" spans="18:42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66"/>
      <c r="AM77" s="66"/>
      <c r="AN77" s="66"/>
      <c r="AO77" s="66"/>
      <c r="AP77" s="66"/>
    </row>
    <row r="78" spans="18:42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66"/>
      <c r="AM78" s="66"/>
      <c r="AN78" s="66"/>
      <c r="AO78" s="66"/>
      <c r="AP78" s="66"/>
    </row>
    <row r="79" spans="18:42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66"/>
      <c r="AM79" s="66"/>
      <c r="AN79" s="66"/>
      <c r="AO79" s="66"/>
      <c r="AP79" s="66"/>
    </row>
    <row r="80" spans="18:42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66"/>
      <c r="AM80" s="66"/>
      <c r="AN80" s="66"/>
      <c r="AO80" s="66"/>
      <c r="AP80" s="66"/>
    </row>
    <row r="81" spans="18:42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66"/>
      <c r="AM81" s="66"/>
      <c r="AN81" s="66"/>
      <c r="AO81" s="66"/>
      <c r="AP81" s="66"/>
    </row>
    <row r="82" spans="18:42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66"/>
      <c r="AM82" s="66"/>
      <c r="AN82" s="66"/>
      <c r="AO82" s="66"/>
      <c r="AP82" s="66"/>
    </row>
    <row r="83" spans="18:42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66"/>
      <c r="AM83" s="66"/>
      <c r="AN83" s="66"/>
      <c r="AO83" s="66"/>
      <c r="AP83" s="66"/>
    </row>
    <row r="84" spans="18:42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66"/>
      <c r="AM84" s="66"/>
      <c r="AN84" s="66"/>
      <c r="AO84" s="66"/>
      <c r="AP84" s="66"/>
    </row>
    <row r="85" spans="18:42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66"/>
      <c r="AM85" s="66"/>
      <c r="AN85" s="66"/>
      <c r="AO85" s="66"/>
      <c r="AP85" s="66"/>
    </row>
    <row r="86" spans="18:42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66"/>
      <c r="AM86" s="66"/>
      <c r="AN86" s="66"/>
      <c r="AO86" s="66"/>
      <c r="AP86" s="66"/>
    </row>
    <row r="87" spans="18:42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66"/>
      <c r="AM87" s="66"/>
      <c r="AN87" s="66"/>
      <c r="AO87" s="66"/>
      <c r="AP87" s="66"/>
    </row>
    <row r="88" spans="18:42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66"/>
      <c r="AM88" s="66"/>
      <c r="AN88" s="66"/>
      <c r="AO88" s="66"/>
      <c r="AP88" s="66"/>
    </row>
    <row r="89" spans="18:42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66"/>
      <c r="AM89" s="66"/>
      <c r="AN89" s="66"/>
      <c r="AO89" s="66"/>
      <c r="AP89" s="66"/>
    </row>
    <row r="90" spans="18:42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66"/>
      <c r="AM90" s="66"/>
      <c r="AN90" s="66"/>
      <c r="AO90" s="66"/>
      <c r="AP90" s="66"/>
    </row>
    <row r="91" spans="18:42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66"/>
      <c r="AM91" s="66"/>
      <c r="AN91" s="66"/>
      <c r="AO91" s="66"/>
      <c r="AP91" s="66"/>
    </row>
    <row r="92" spans="18:42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66"/>
      <c r="AM92" s="66"/>
      <c r="AN92" s="66"/>
      <c r="AO92" s="66"/>
      <c r="AP92" s="66"/>
    </row>
    <row r="93" spans="18:42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66"/>
      <c r="AM93" s="66"/>
      <c r="AN93" s="66"/>
      <c r="AO93" s="66"/>
      <c r="AP93" s="66"/>
    </row>
    <row r="94" spans="18:42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66"/>
      <c r="AM94" s="66"/>
      <c r="AN94" s="66"/>
      <c r="AO94" s="66"/>
      <c r="AP94" s="66"/>
    </row>
    <row r="95" spans="18:42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66"/>
      <c r="AM95" s="66"/>
      <c r="AN95" s="66"/>
      <c r="AO95" s="66"/>
      <c r="AP95" s="66"/>
    </row>
    <row r="96" spans="18:42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6"/>
      <c r="AM96" s="66"/>
      <c r="AN96" s="66"/>
      <c r="AO96" s="66"/>
      <c r="AP96" s="66"/>
    </row>
    <row r="97" spans="18:42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66"/>
      <c r="AM97" s="66"/>
      <c r="AN97" s="66"/>
      <c r="AO97" s="66"/>
      <c r="AP97" s="66"/>
    </row>
    <row r="98" spans="18:42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66"/>
      <c r="AM98" s="66"/>
      <c r="AN98" s="66"/>
      <c r="AO98" s="66"/>
      <c r="AP98" s="66"/>
    </row>
    <row r="99" spans="18:42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66"/>
      <c r="AM99" s="66"/>
      <c r="AN99" s="66"/>
      <c r="AO99" s="66"/>
      <c r="AP99" s="66"/>
    </row>
    <row r="100" spans="18:42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66"/>
      <c r="AM100" s="66"/>
      <c r="AN100" s="66"/>
      <c r="AO100" s="66"/>
      <c r="AP100" s="66"/>
    </row>
    <row r="101" spans="18:42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66"/>
      <c r="AM101" s="66"/>
      <c r="AN101" s="66"/>
      <c r="AO101" s="66"/>
      <c r="AP101" s="66"/>
    </row>
    <row r="102" spans="18:42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66"/>
      <c r="AM102" s="66"/>
      <c r="AN102" s="66"/>
      <c r="AO102" s="66"/>
      <c r="AP102" s="66"/>
    </row>
    <row r="103" spans="18:42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66"/>
      <c r="AM103" s="66"/>
      <c r="AN103" s="66"/>
      <c r="AO103" s="66"/>
      <c r="AP103" s="66"/>
    </row>
    <row r="104" spans="18:42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66"/>
      <c r="AM104" s="66"/>
      <c r="AN104" s="66"/>
      <c r="AO104" s="66"/>
      <c r="AP104" s="66"/>
    </row>
    <row r="105" spans="18:42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66"/>
      <c r="AM105" s="66"/>
      <c r="AN105" s="66"/>
      <c r="AO105" s="66"/>
      <c r="AP105" s="66"/>
    </row>
    <row r="106" spans="18:42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66"/>
      <c r="AM106" s="66"/>
      <c r="AN106" s="66"/>
      <c r="AO106" s="66"/>
      <c r="AP106" s="66"/>
    </row>
    <row r="107" spans="18:42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66"/>
      <c r="AM107" s="66"/>
      <c r="AN107" s="66"/>
      <c r="AO107" s="66"/>
      <c r="AP107" s="66"/>
    </row>
    <row r="108" spans="18:42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66"/>
      <c r="AM108" s="66"/>
      <c r="AN108" s="66"/>
      <c r="AO108" s="66"/>
      <c r="AP108" s="66"/>
    </row>
    <row r="109" spans="18:42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66"/>
      <c r="AM109" s="66"/>
      <c r="AN109" s="66"/>
      <c r="AO109" s="66"/>
      <c r="AP109" s="66"/>
    </row>
    <row r="110" spans="18:42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66"/>
      <c r="AM110" s="66"/>
      <c r="AN110" s="66"/>
      <c r="AO110" s="66"/>
      <c r="AP110" s="66"/>
    </row>
    <row r="111" spans="18:42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66"/>
      <c r="AM111" s="66"/>
      <c r="AN111" s="66"/>
      <c r="AO111" s="66"/>
      <c r="AP111" s="66"/>
    </row>
    <row r="112" spans="18:42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66"/>
      <c r="AM112" s="66"/>
      <c r="AN112" s="66"/>
      <c r="AO112" s="66"/>
      <c r="AP112" s="66"/>
    </row>
    <row r="113" spans="18:42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66"/>
      <c r="AM113" s="66"/>
      <c r="AN113" s="66"/>
      <c r="AO113" s="66"/>
      <c r="AP113" s="66"/>
    </row>
    <row r="114" spans="18:42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66"/>
      <c r="AM114" s="66"/>
      <c r="AN114" s="66"/>
      <c r="AO114" s="66"/>
      <c r="AP114" s="66"/>
    </row>
    <row r="115" spans="18:42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66"/>
      <c r="AM115" s="66"/>
      <c r="AN115" s="66"/>
      <c r="AO115" s="66"/>
      <c r="AP115" s="66"/>
    </row>
    <row r="116" spans="18:42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6"/>
      <c r="AM116" s="66"/>
      <c r="AN116" s="66"/>
      <c r="AO116" s="66"/>
      <c r="AP116" s="66"/>
    </row>
    <row r="117" spans="18:42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66"/>
      <c r="AM117" s="66"/>
      <c r="AN117" s="66"/>
      <c r="AO117" s="66"/>
      <c r="AP117" s="66"/>
    </row>
    <row r="118" spans="18:42"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</row>
    <row r="119" spans="18:42"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</row>
    <row r="120" spans="18:42"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</row>
    <row r="121" spans="18:42"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</row>
    <row r="122" spans="18:42"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</row>
    <row r="123" spans="18:42"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</row>
    <row r="124" spans="18:42"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</row>
    <row r="125" spans="18:42"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</row>
    <row r="126" spans="18:42"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</row>
    <row r="127" spans="18:42"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</row>
    <row r="128" spans="18:42"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</row>
    <row r="129" spans="18:42"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</row>
    <row r="130" spans="18:42"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</row>
    <row r="131" spans="18:42"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</row>
    <row r="132" spans="18:42"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</row>
    <row r="133" spans="18:42"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</row>
    <row r="134" spans="18:42"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</row>
    <row r="135" spans="18:42"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</row>
    <row r="136" spans="18:42"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</row>
    <row r="137" spans="18:42"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</row>
    <row r="138" spans="18:42"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</row>
    <row r="139" spans="18:42"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</row>
    <row r="140" spans="18:42"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</row>
    <row r="141" spans="18:42"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</row>
    <row r="142" spans="18:42"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</row>
    <row r="143" spans="18:42"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</row>
    <row r="144" spans="18:42"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</row>
    <row r="145" spans="18:42"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</row>
    <row r="146" spans="18:42"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</row>
    <row r="147" spans="18:42"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</row>
    <row r="148" spans="18:42"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</row>
    <row r="149" spans="18:42"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</row>
    <row r="150" spans="18:42"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</row>
    <row r="151" spans="18:42"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</row>
    <row r="152" spans="18:42"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</row>
    <row r="153" spans="18:42"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</row>
    <row r="154" spans="18:42"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</row>
    <row r="155" spans="18:42"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</row>
    <row r="156" spans="18:42"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</row>
    <row r="157" spans="18:42"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</row>
    <row r="158" spans="18:42"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</row>
    <row r="159" spans="18:42"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</row>
    <row r="160" spans="18:42"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</row>
    <row r="161" spans="18:42"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</row>
    <row r="162" spans="18:42"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</row>
    <row r="163" spans="18:42"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</row>
    <row r="164" spans="18:42"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</row>
    <row r="165" spans="18:42"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</row>
    <row r="166" spans="18:42"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</row>
    <row r="167" spans="18:42"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</row>
    <row r="168" spans="18:42"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</row>
    <row r="169" spans="18:42"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</row>
    <row r="170" spans="18:42"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</row>
    <row r="171" spans="18:42"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</row>
    <row r="172" spans="18:42"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</row>
    <row r="173" spans="18:42"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</row>
    <row r="174" spans="18:42"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</row>
    <row r="175" spans="18:42"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</row>
    <row r="176" spans="18:42"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</row>
    <row r="177" spans="18:42"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</row>
    <row r="178" spans="18:42"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</row>
    <row r="179" spans="18:42"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</row>
    <row r="180" spans="18:42"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</row>
    <row r="181" spans="18:42"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</row>
    <row r="182" spans="18:42"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</row>
    <row r="183" spans="18:42"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</row>
    <row r="184" spans="18:42"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</row>
    <row r="185" spans="18:42"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</row>
    <row r="186" spans="18:42"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</row>
    <row r="187" spans="18:42"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</row>
    <row r="188" spans="18:42"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</row>
    <row r="189" spans="18:42"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</row>
    <row r="190" spans="18:42"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</row>
    <row r="191" spans="18:42"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</row>
    <row r="192" spans="18:42"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</row>
    <row r="193" spans="18:42"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</row>
    <row r="194" spans="18:42"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</row>
    <row r="195" spans="18:42"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</row>
    <row r="196" spans="18:42"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</row>
    <row r="197" spans="18:42"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</row>
    <row r="198" spans="18:42"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</row>
    <row r="199" spans="18:42"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</row>
    <row r="200" spans="18:42"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</row>
    <row r="201" spans="18:42"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</row>
    <row r="202" spans="18:42"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</row>
    <row r="203" spans="18:42"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</row>
    <row r="204" spans="18:42"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</row>
    <row r="205" spans="18:42"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</row>
    <row r="206" spans="18:42"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</row>
    <row r="207" spans="18:42"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</row>
    <row r="208" spans="18:42"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</row>
    <row r="209" spans="18:42"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</row>
    <row r="210" spans="18:42"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</row>
    <row r="211" spans="18:42"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</row>
    <row r="212" spans="18:42"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</row>
    <row r="213" spans="18:42"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</row>
    <row r="214" spans="18:42"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</row>
    <row r="215" spans="18:42"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</row>
    <row r="216" spans="18:42"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</row>
    <row r="217" spans="18:42"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</row>
    <row r="218" spans="18:42"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</row>
    <row r="219" spans="18:42"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</row>
    <row r="220" spans="18:42"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</row>
    <row r="221" spans="18:42"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</row>
    <row r="222" spans="18:42"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</row>
    <row r="223" spans="18:42"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</row>
    <row r="224" spans="18:42"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</row>
    <row r="225" spans="18:42"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</row>
    <row r="226" spans="18:42"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</row>
    <row r="227" spans="18:42"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</row>
    <row r="228" spans="18:42"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</row>
    <row r="229" spans="18:42"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</row>
    <row r="230" spans="18:42"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</row>
    <row r="231" spans="18:42"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</row>
    <row r="232" spans="18:42"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</row>
    <row r="233" spans="18:42"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</row>
    <row r="234" spans="18:42"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</row>
    <row r="235" spans="18:42"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</row>
    <row r="236" spans="18:42"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</row>
    <row r="237" spans="18:42"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</row>
  </sheetData>
  <sheetProtection password="D294" sheet="1" objects="1" scenarios="1"/>
  <dataConsolidate/>
  <mergeCells count="28">
    <mergeCell ref="N34:Q35"/>
    <mergeCell ref="N36:Q37"/>
    <mergeCell ref="C4:M4"/>
    <mergeCell ref="F6:O6"/>
    <mergeCell ref="C7:E7"/>
    <mergeCell ref="C6:E6"/>
    <mergeCell ref="C21:E21"/>
    <mergeCell ref="E22:K22"/>
    <mergeCell ref="N26:Q27"/>
    <mergeCell ref="B29:L30"/>
    <mergeCell ref="E32:H32"/>
    <mergeCell ref="N33:Q33"/>
    <mergeCell ref="R11:S12"/>
    <mergeCell ref="N13:Q14"/>
    <mergeCell ref="R13:S13"/>
    <mergeCell ref="N15:Q17"/>
    <mergeCell ref="V16:Y16"/>
    <mergeCell ref="N18:Q19"/>
    <mergeCell ref="I9:K9"/>
    <mergeCell ref="N9:Q9"/>
    <mergeCell ref="P10:Q10"/>
    <mergeCell ref="P11:Q11"/>
    <mergeCell ref="C12:K12"/>
    <mergeCell ref="N12:Q12"/>
    <mergeCell ref="S4:U4"/>
    <mergeCell ref="C5:H5"/>
    <mergeCell ref="S5:U5"/>
    <mergeCell ref="S6:U6"/>
  </mergeCells>
  <conditionalFormatting sqref="I26">
    <cfRule type="expression" dxfId="4" priority="5">
      <formula>$C$15="Sim"</formula>
    </cfRule>
  </conditionalFormatting>
  <conditionalFormatting sqref="N15">
    <cfRule type="expression" dxfId="3" priority="4">
      <formula>$N$15=""</formula>
    </cfRule>
  </conditionalFormatting>
  <conditionalFormatting sqref="P20">
    <cfRule type="expression" dxfId="2" priority="3">
      <formula>$P$20=$N$13</formula>
    </cfRule>
  </conditionalFormatting>
  <conditionalFormatting sqref="N20">
    <cfRule type="expression" dxfId="1" priority="2">
      <formula>$N$20="50% IAS"</formula>
    </cfRule>
  </conditionalFormatting>
  <conditionalFormatting sqref="N26">
    <cfRule type="expression" dxfId="0" priority="1">
      <formula>$N$15=""</formula>
    </cfRule>
  </conditionalFormatting>
  <dataValidations count="4">
    <dataValidation type="list" allowBlank="1" showInputMessage="1" showErrorMessage="1" sqref="C12">
      <formula1>$S$4:$S$7</formula1>
    </dataValidation>
    <dataValidation type="list" allowBlank="1" showInputMessage="1" showErrorMessage="1" sqref="C15">
      <formula1>$S$2:$S$3</formula1>
    </dataValidation>
    <dataValidation type="list" allowBlank="1" showInputMessage="1" showErrorMessage="1" sqref="I32">
      <formula1>INDIRECT($K$38)</formula1>
    </dataValidation>
    <dataValidation type="list" allowBlank="1" showInputMessage="1" showErrorMessage="1" sqref="C32">
      <formula1>S2:S3</formula1>
    </dataValidation>
  </dataValidations>
  <pageMargins left="0.75" right="0.75" top="1" bottom="1" header="0.5" footer="0.5"/>
  <pageSetup paperSize="9" orientation="portrait" horizontalDpi="4294967292" verticalDpi="4294967292"/>
  <ignoredErrors>
    <ignoredError sqref="P10 R13 N21:N24 N1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Simulador</vt:lpstr>
      <vt:lpstr>Exemplo 1</vt:lpstr>
      <vt:lpstr>Exemplo 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Família Sousa e Silva</cp:lastModifiedBy>
  <dcterms:created xsi:type="dcterms:W3CDTF">2013-08-20T10:21:00Z</dcterms:created>
  <dcterms:modified xsi:type="dcterms:W3CDTF">2014-06-26T09:52:08Z</dcterms:modified>
  <cp:category/>
</cp:coreProperties>
</file>